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ven\Desktop\DT Video\"/>
    </mc:Choice>
  </mc:AlternateContent>
  <xr:revisionPtr revIDLastSave="0" documentId="13_ncr:1_{208E0BF9-A82B-4393-BBBC-89EE040100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cierge Mail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20" i="1" l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P25" i="1" l="1"/>
  <c r="Q25" i="1" s="1"/>
  <c r="M19" i="1"/>
  <c r="R19" i="1"/>
  <c r="S19" i="1"/>
  <c r="U19" i="1"/>
  <c r="Y19" i="1"/>
  <c r="Z19" i="1"/>
  <c r="AA19" i="1"/>
  <c r="AB19" i="1"/>
  <c r="AC19" i="1"/>
  <c r="AD19" i="1"/>
  <c r="AI19" i="1"/>
  <c r="M20" i="1"/>
  <c r="R20" i="1"/>
  <c r="S20" i="1"/>
  <c r="U20" i="1"/>
  <c r="Y20" i="1"/>
  <c r="Z20" i="1"/>
  <c r="AA20" i="1"/>
  <c r="AB20" i="1"/>
  <c r="AC20" i="1"/>
  <c r="AD20" i="1"/>
  <c r="AI20" i="1"/>
  <c r="M18" i="1"/>
  <c r="R18" i="1"/>
  <c r="S18" i="1"/>
  <c r="U18" i="1"/>
  <c r="Y18" i="1"/>
  <c r="Z18" i="1"/>
  <c r="AA18" i="1"/>
  <c r="AB18" i="1"/>
  <c r="AC18" i="1"/>
  <c r="AD18" i="1"/>
  <c r="AI18" i="1"/>
  <c r="M17" i="1"/>
  <c r="R17" i="1"/>
  <c r="S17" i="1"/>
  <c r="U17" i="1"/>
  <c r="Y17" i="1"/>
  <c r="Z17" i="1"/>
  <c r="AA17" i="1"/>
  <c r="AB17" i="1"/>
  <c r="AC17" i="1"/>
  <c r="AD17" i="1"/>
  <c r="AI17" i="1"/>
  <c r="M15" i="1"/>
  <c r="R15" i="1"/>
  <c r="S15" i="1"/>
  <c r="U15" i="1"/>
  <c r="Y15" i="1"/>
  <c r="Z15" i="1"/>
  <c r="AA15" i="1"/>
  <c r="AB15" i="1"/>
  <c r="AC15" i="1"/>
  <c r="AD15" i="1"/>
  <c r="AI15" i="1"/>
  <c r="M14" i="1"/>
  <c r="R14" i="1"/>
  <c r="S14" i="1"/>
  <c r="U14" i="1"/>
  <c r="Y14" i="1"/>
  <c r="Z14" i="1"/>
  <c r="AA14" i="1"/>
  <c r="AB14" i="1"/>
  <c r="AC14" i="1"/>
  <c r="AD14" i="1"/>
  <c r="AI14" i="1"/>
  <c r="M13" i="1"/>
  <c r="R13" i="1"/>
  <c r="S13" i="1"/>
  <c r="U13" i="1"/>
  <c r="Y13" i="1"/>
  <c r="Z13" i="1"/>
  <c r="AA13" i="1"/>
  <c r="AB13" i="1"/>
  <c r="AC13" i="1"/>
  <c r="AD13" i="1"/>
  <c r="AI13" i="1"/>
  <c r="M16" i="1"/>
  <c r="R16" i="1"/>
  <c r="S16" i="1"/>
  <c r="U16" i="1"/>
  <c r="Y16" i="1"/>
  <c r="Z16" i="1"/>
  <c r="AA16" i="1"/>
  <c r="AB16" i="1"/>
  <c r="AC16" i="1"/>
  <c r="AD16" i="1"/>
  <c r="AI16" i="1"/>
  <c r="M4" i="1"/>
  <c r="R4" i="1"/>
  <c r="S4" i="1"/>
  <c r="U4" i="1"/>
  <c r="Y4" i="1"/>
  <c r="Z4" i="1"/>
  <c r="AA4" i="1"/>
  <c r="AB4" i="1"/>
  <c r="AC4" i="1"/>
  <c r="AD4" i="1"/>
  <c r="AI4" i="1"/>
  <c r="M11" i="1"/>
  <c r="R11" i="1"/>
  <c r="S11" i="1"/>
  <c r="U11" i="1"/>
  <c r="Y11" i="1"/>
  <c r="Z11" i="1"/>
  <c r="AA11" i="1"/>
  <c r="AB11" i="1"/>
  <c r="AC11" i="1"/>
  <c r="AD11" i="1"/>
  <c r="AI11" i="1"/>
  <c r="M12" i="1"/>
  <c r="R12" i="1"/>
  <c r="S12" i="1"/>
  <c r="U12" i="1"/>
  <c r="Y12" i="1"/>
  <c r="Z12" i="1"/>
  <c r="AA12" i="1"/>
  <c r="AB12" i="1"/>
  <c r="AC12" i="1"/>
  <c r="AD12" i="1"/>
  <c r="AI12" i="1"/>
  <c r="M5" i="1"/>
  <c r="R5" i="1"/>
  <c r="S5" i="1"/>
  <c r="U5" i="1"/>
  <c r="Y5" i="1"/>
  <c r="Z5" i="1"/>
  <c r="AA5" i="1"/>
  <c r="AB5" i="1"/>
  <c r="AC5" i="1"/>
  <c r="AD5" i="1"/>
  <c r="AI5" i="1"/>
  <c r="M6" i="1"/>
  <c r="R6" i="1"/>
  <c r="S6" i="1"/>
  <c r="U6" i="1"/>
  <c r="Y6" i="1"/>
  <c r="Z6" i="1"/>
  <c r="AA6" i="1"/>
  <c r="AB6" i="1"/>
  <c r="AC6" i="1"/>
  <c r="AD6" i="1"/>
  <c r="AI6" i="1"/>
  <c r="M10" i="1"/>
  <c r="R10" i="1"/>
  <c r="S10" i="1"/>
  <c r="U10" i="1"/>
  <c r="Y10" i="1"/>
  <c r="Z10" i="1"/>
  <c r="AA10" i="1"/>
  <c r="AB10" i="1"/>
  <c r="AC10" i="1"/>
  <c r="AD10" i="1"/>
  <c r="AI10" i="1"/>
  <c r="M9" i="1"/>
  <c r="R9" i="1"/>
  <c r="S9" i="1"/>
  <c r="U9" i="1"/>
  <c r="Y9" i="1"/>
  <c r="Z9" i="1"/>
  <c r="AA9" i="1"/>
  <c r="AB9" i="1"/>
  <c r="AC9" i="1"/>
  <c r="AD9" i="1"/>
  <c r="AI9" i="1"/>
  <c r="M8" i="1"/>
  <c r="R8" i="1"/>
  <c r="S8" i="1"/>
  <c r="U8" i="1"/>
  <c r="Y8" i="1"/>
  <c r="Z8" i="1"/>
  <c r="AA8" i="1"/>
  <c r="AB8" i="1"/>
  <c r="AC8" i="1"/>
  <c r="AD8" i="1"/>
  <c r="AI8" i="1"/>
  <c r="M7" i="1"/>
  <c r="R7" i="1"/>
  <c r="S7" i="1"/>
  <c r="U7" i="1"/>
  <c r="Y7" i="1"/>
  <c r="Z7" i="1"/>
  <c r="AA7" i="1"/>
  <c r="AB7" i="1"/>
  <c r="AC7" i="1"/>
  <c r="AD7" i="1"/>
  <c r="AI7" i="1"/>
  <c r="M3" i="1"/>
  <c r="R3" i="1"/>
  <c r="S3" i="1"/>
  <c r="U3" i="1"/>
  <c r="Y3" i="1"/>
  <c r="Z3" i="1"/>
  <c r="AA3" i="1"/>
  <c r="AB3" i="1"/>
  <c r="AC3" i="1"/>
  <c r="AD3" i="1"/>
  <c r="AI3" i="1"/>
  <c r="O15" i="1" l="1"/>
  <c r="P15" i="1" s="1"/>
  <c r="O17" i="1"/>
  <c r="P17" i="1" s="1"/>
  <c r="O18" i="1"/>
  <c r="P18" i="1" s="1"/>
  <c r="O20" i="1"/>
  <c r="P20" i="1" s="1"/>
  <c r="O19" i="1"/>
  <c r="P19" i="1" s="1"/>
  <c r="O3" i="1"/>
  <c r="P3" i="1" s="1"/>
  <c r="O12" i="1"/>
  <c r="P12" i="1" s="1"/>
  <c r="O14" i="1"/>
  <c r="P14" i="1" s="1"/>
  <c r="O9" i="1"/>
  <c r="P9" i="1" s="1"/>
  <c r="O7" i="1"/>
  <c r="P7" i="1" s="1"/>
  <c r="O8" i="1"/>
  <c r="P8" i="1" s="1"/>
  <c r="O10" i="1"/>
  <c r="P10" i="1" s="1"/>
  <c r="O5" i="1"/>
  <c r="P5" i="1" s="1"/>
  <c r="O11" i="1"/>
  <c r="P11" i="1" s="1"/>
  <c r="O4" i="1"/>
  <c r="P4" i="1" s="1"/>
  <c r="O16" i="1"/>
  <c r="P16" i="1" s="1"/>
  <c r="O13" i="1"/>
  <c r="P13" i="1" s="1"/>
  <c r="O6" i="1"/>
  <c r="P6" i="1" s="1"/>
  <c r="JN5" i="1" l="1"/>
  <c r="JM5" i="1"/>
  <c r="JC5" i="1"/>
  <c r="IX5" i="1"/>
  <c r="IS5" i="1"/>
  <c r="IG5" i="1"/>
  <c r="IF5" i="1"/>
  <c r="GN5" i="1"/>
  <c r="DO5" i="1"/>
  <c r="CR5" i="1"/>
  <c r="CQ5" i="1"/>
  <c r="CP5" i="1"/>
  <c r="T5" i="1" s="1"/>
  <c r="CJ5" i="1"/>
  <c r="X5" i="1" s="1"/>
  <c r="JN8" i="1"/>
  <c r="JM8" i="1"/>
  <c r="JC8" i="1"/>
  <c r="IX8" i="1"/>
  <c r="IS8" i="1"/>
  <c r="IG8" i="1"/>
  <c r="IF8" i="1"/>
  <c r="GN8" i="1"/>
  <c r="DO8" i="1"/>
  <c r="CR8" i="1"/>
  <c r="CQ8" i="1"/>
  <c r="CP8" i="1"/>
  <c r="T8" i="1" s="1"/>
  <c r="CJ8" i="1"/>
  <c r="X8" i="1" s="1"/>
  <c r="JN14" i="1"/>
  <c r="JM14" i="1"/>
  <c r="JC14" i="1"/>
  <c r="IX14" i="1"/>
  <c r="IS14" i="1"/>
  <c r="IG14" i="1"/>
  <c r="IF14" i="1"/>
  <c r="GN14" i="1"/>
  <c r="DO14" i="1"/>
  <c r="CR14" i="1"/>
  <c r="CQ14" i="1"/>
  <c r="CP14" i="1"/>
  <c r="T14" i="1" s="1"/>
  <c r="CJ14" i="1"/>
  <c r="X14" i="1" s="1"/>
  <c r="BU14" i="1"/>
  <c r="BT14" i="1"/>
  <c r="JN12" i="1"/>
  <c r="JM12" i="1"/>
  <c r="JC12" i="1"/>
  <c r="IX12" i="1"/>
  <c r="IS12" i="1"/>
  <c r="IG12" i="1"/>
  <c r="IF12" i="1"/>
  <c r="GN12" i="1"/>
  <c r="DO12" i="1"/>
  <c r="CR12" i="1"/>
  <c r="CQ12" i="1"/>
  <c r="CP12" i="1"/>
  <c r="T12" i="1" s="1"/>
  <c r="CJ12" i="1"/>
  <c r="X12" i="1" s="1"/>
  <c r="JN11" i="1"/>
  <c r="JM11" i="1"/>
  <c r="JC11" i="1"/>
  <c r="IX11" i="1"/>
  <c r="IS11" i="1"/>
  <c r="IG11" i="1"/>
  <c r="IF11" i="1"/>
  <c r="GN11" i="1"/>
  <c r="DO11" i="1"/>
  <c r="CR11" i="1"/>
  <c r="CQ11" i="1"/>
  <c r="CP11" i="1"/>
  <c r="T11" i="1" s="1"/>
  <c r="CJ11" i="1"/>
  <c r="X11" i="1" s="1"/>
  <c r="JN19" i="1"/>
  <c r="JM19" i="1"/>
  <c r="JC19" i="1"/>
  <c r="IX19" i="1"/>
  <c r="IS19" i="1"/>
  <c r="IG19" i="1"/>
  <c r="IF19" i="1"/>
  <c r="GN19" i="1"/>
  <c r="DO19" i="1"/>
  <c r="CR19" i="1"/>
  <c r="CQ19" i="1"/>
  <c r="CP19" i="1"/>
  <c r="T19" i="1" s="1"/>
  <c r="CJ19" i="1"/>
  <c r="X19" i="1" s="1"/>
  <c r="BU19" i="1"/>
  <c r="BT19" i="1"/>
  <c r="JN16" i="1"/>
  <c r="JM16" i="1"/>
  <c r="JC16" i="1"/>
  <c r="IX16" i="1"/>
  <c r="IS16" i="1"/>
  <c r="IG16" i="1"/>
  <c r="IF16" i="1"/>
  <c r="GN16" i="1"/>
  <c r="DO16" i="1"/>
  <c r="CR16" i="1"/>
  <c r="CQ16" i="1"/>
  <c r="CP16" i="1"/>
  <c r="T16" i="1" s="1"/>
  <c r="CJ16" i="1"/>
  <c r="X16" i="1" s="1"/>
  <c r="BU16" i="1"/>
  <c r="BT16" i="1"/>
  <c r="JN18" i="1"/>
  <c r="JM18" i="1"/>
  <c r="JC18" i="1"/>
  <c r="IX18" i="1"/>
  <c r="IS18" i="1"/>
  <c r="IG18" i="1"/>
  <c r="IF18" i="1"/>
  <c r="GN18" i="1"/>
  <c r="DO18" i="1"/>
  <c r="CR18" i="1"/>
  <c r="CQ18" i="1"/>
  <c r="CP18" i="1"/>
  <c r="T18" i="1" s="1"/>
  <c r="CJ18" i="1"/>
  <c r="X18" i="1" s="1"/>
  <c r="BU18" i="1"/>
  <c r="BT18" i="1"/>
  <c r="JN3" i="1"/>
  <c r="JM3" i="1"/>
  <c r="JC3" i="1"/>
  <c r="IX3" i="1"/>
  <c r="IS3" i="1"/>
  <c r="IG3" i="1"/>
  <c r="IF3" i="1"/>
  <c r="GN3" i="1"/>
  <c r="DO3" i="1"/>
  <c r="CR3" i="1"/>
  <c r="CQ3" i="1"/>
  <c r="CP3" i="1"/>
  <c r="T3" i="1" s="1"/>
  <c r="CJ3" i="1"/>
  <c r="X3" i="1" s="1"/>
  <c r="JN17" i="1"/>
  <c r="JM17" i="1"/>
  <c r="JC17" i="1"/>
  <c r="IX17" i="1"/>
  <c r="IS17" i="1"/>
  <c r="IG17" i="1"/>
  <c r="IF17" i="1"/>
  <c r="GN17" i="1"/>
  <c r="DO17" i="1"/>
  <c r="CR17" i="1"/>
  <c r="CQ17" i="1"/>
  <c r="CP17" i="1"/>
  <c r="T17" i="1" s="1"/>
  <c r="CJ17" i="1"/>
  <c r="X17" i="1" s="1"/>
  <c r="BU17" i="1"/>
  <c r="BT17" i="1"/>
  <c r="JN7" i="1"/>
  <c r="JM7" i="1"/>
  <c r="JC7" i="1"/>
  <c r="IX7" i="1"/>
  <c r="IS7" i="1"/>
  <c r="IG7" i="1"/>
  <c r="IF7" i="1"/>
  <c r="GN7" i="1"/>
  <c r="DO7" i="1"/>
  <c r="CR7" i="1"/>
  <c r="CQ7" i="1"/>
  <c r="CP7" i="1"/>
  <c r="T7" i="1" s="1"/>
  <c r="CJ7" i="1"/>
  <c r="X7" i="1" s="1"/>
  <c r="JN20" i="1"/>
  <c r="JM20" i="1"/>
  <c r="JC20" i="1"/>
  <c r="IX20" i="1"/>
  <c r="IS20" i="1"/>
  <c r="IG20" i="1"/>
  <c r="IF20" i="1"/>
  <c r="GN20" i="1"/>
  <c r="DO20" i="1"/>
  <c r="CR20" i="1"/>
  <c r="CQ20" i="1"/>
  <c r="CP20" i="1"/>
  <c r="T20" i="1" s="1"/>
  <c r="CJ20" i="1"/>
  <c r="X20" i="1" s="1"/>
  <c r="BU20" i="1"/>
  <c r="BT20" i="1"/>
  <c r="JN4" i="1"/>
  <c r="JM4" i="1"/>
  <c r="JC4" i="1"/>
  <c r="IX4" i="1"/>
  <c r="IS4" i="1"/>
  <c r="IG4" i="1"/>
  <c r="IF4" i="1"/>
  <c r="GN4" i="1"/>
  <c r="DO4" i="1"/>
  <c r="CR4" i="1"/>
  <c r="CQ4" i="1"/>
  <c r="CP4" i="1"/>
  <c r="T4" i="1" s="1"/>
  <c r="CJ4" i="1"/>
  <c r="X4" i="1" s="1"/>
  <c r="JN10" i="1"/>
  <c r="JM10" i="1"/>
  <c r="JC10" i="1"/>
  <c r="IX10" i="1"/>
  <c r="IS10" i="1"/>
  <c r="IG10" i="1"/>
  <c r="IF10" i="1"/>
  <c r="GN10" i="1"/>
  <c r="DO10" i="1"/>
  <c r="CR10" i="1"/>
  <c r="CQ10" i="1"/>
  <c r="CP10" i="1"/>
  <c r="T10" i="1" s="1"/>
  <c r="CJ10" i="1"/>
  <c r="X10" i="1" s="1"/>
  <c r="JN15" i="1"/>
  <c r="JM15" i="1"/>
  <c r="JC15" i="1"/>
  <c r="IX15" i="1"/>
  <c r="IS15" i="1"/>
  <c r="IG15" i="1"/>
  <c r="IF15" i="1"/>
  <c r="GN15" i="1"/>
  <c r="DO15" i="1"/>
  <c r="CR15" i="1"/>
  <c r="CQ15" i="1"/>
  <c r="CP15" i="1"/>
  <c r="T15" i="1" s="1"/>
  <c r="CJ15" i="1"/>
  <c r="X15" i="1" s="1"/>
  <c r="BU15" i="1"/>
  <c r="BT15" i="1"/>
  <c r="JN6" i="1"/>
  <c r="JM6" i="1"/>
  <c r="JC6" i="1"/>
  <c r="IX6" i="1"/>
  <c r="IS6" i="1"/>
  <c r="IG6" i="1"/>
  <c r="IF6" i="1"/>
  <c r="GN6" i="1"/>
  <c r="DO6" i="1"/>
  <c r="CR6" i="1"/>
  <c r="CQ6" i="1"/>
  <c r="CP6" i="1"/>
  <c r="T6" i="1" s="1"/>
  <c r="CJ6" i="1"/>
  <c r="X6" i="1" s="1"/>
  <c r="JN13" i="1"/>
  <c r="JM13" i="1"/>
  <c r="JC13" i="1"/>
  <c r="IX13" i="1"/>
  <c r="IS13" i="1"/>
  <c r="IG13" i="1"/>
  <c r="IF13" i="1"/>
  <c r="GN13" i="1"/>
  <c r="DO13" i="1"/>
  <c r="CR13" i="1"/>
  <c r="CQ13" i="1"/>
  <c r="CP13" i="1"/>
  <c r="T13" i="1" s="1"/>
  <c r="CJ13" i="1"/>
  <c r="X13" i="1" s="1"/>
  <c r="BU13" i="1"/>
  <c r="BT13" i="1"/>
  <c r="JN9" i="1"/>
  <c r="JM9" i="1"/>
  <c r="JC9" i="1"/>
  <c r="IX9" i="1"/>
  <c r="IS9" i="1"/>
  <c r="IG9" i="1"/>
  <c r="IF9" i="1"/>
  <c r="GN9" i="1"/>
  <c r="DO9" i="1"/>
  <c r="CR9" i="1"/>
  <c r="CQ9" i="1"/>
  <c r="CP9" i="1"/>
  <c r="T9" i="1" s="1"/>
  <c r="CJ9" i="1"/>
  <c r="X9" i="1" s="1"/>
</calcChain>
</file>

<file path=xl/sharedStrings.xml><?xml version="1.0" encoding="utf-8"?>
<sst xmlns="http://schemas.openxmlformats.org/spreadsheetml/2006/main" count="1855" uniqueCount="660">
  <si>
    <t>done</t>
  </si>
  <si>
    <t>INPUT</t>
  </si>
  <si>
    <t>Your_Name</t>
  </si>
  <si>
    <t>Your_Title</t>
  </si>
  <si>
    <t>Your_Company</t>
  </si>
  <si>
    <t>Your_Address</t>
  </si>
  <si>
    <t>Your_City</t>
  </si>
  <si>
    <t>Your_State</t>
  </si>
  <si>
    <t>Your_Zip</t>
  </si>
  <si>
    <t>Your_Phone</t>
  </si>
  <si>
    <t>Your_email</t>
  </si>
  <si>
    <t>Your_website</t>
  </si>
  <si>
    <t>dateraw</t>
  </si>
  <si>
    <t>Date</t>
  </si>
  <si>
    <t>Reference</t>
  </si>
  <si>
    <t>offerpriceraw</t>
  </si>
  <si>
    <t>Offer_Price</t>
  </si>
  <si>
    <t>closingdateraw</t>
  </si>
  <si>
    <t>Closing_Date</t>
  </si>
  <si>
    <t>County_Name</t>
  </si>
  <si>
    <t>APN</t>
  </si>
  <si>
    <t>Mail_Address</t>
  </si>
  <si>
    <t>Mail_City</t>
  </si>
  <si>
    <t>Mail_State</t>
  </si>
  <si>
    <t>Mail_ZIP_Code</t>
  </si>
  <si>
    <t>Owner_First_Name</t>
  </si>
  <si>
    <t>Owner_Last_Name</t>
  </si>
  <si>
    <t>Legal_Description</t>
  </si>
  <si>
    <t>Lot_Acreage</t>
  </si>
  <si>
    <t>Calc</t>
  </si>
  <si>
    <t>County</t>
  </si>
  <si>
    <t>Acres</t>
  </si>
  <si>
    <t>OWNER 1 FULL NAME</t>
  </si>
  <si>
    <t>OWNER 1 FIRST NAME &amp; MI</t>
  </si>
  <si>
    <t>OWNER 1 FIRST NAME</t>
  </si>
  <si>
    <t>OWNER 1 LAST NAME</t>
  </si>
  <si>
    <t>OWNER 1 TYPE</t>
  </si>
  <si>
    <t>OWNER 1 PROPERTIES OWNED</t>
  </si>
  <si>
    <t>OWNER 2 FULL NAME</t>
  </si>
  <si>
    <t>OWNER 2 FIRST NAME &amp; MI</t>
  </si>
  <si>
    <t>OWNER 2 FIRST NAME</t>
  </si>
  <si>
    <t>OWNER 2 LAST NAME</t>
  </si>
  <si>
    <t>OWNER 2 TYPE</t>
  </si>
  <si>
    <t>OWNER 2 PROPERTIES OWNED</t>
  </si>
  <si>
    <t>OWNER 3 FULL NAME</t>
  </si>
  <si>
    <t>OWNER 4 FULL NAME</t>
  </si>
  <si>
    <t>OWNER MAILING NAME</t>
  </si>
  <si>
    <t>OWNERS (ALL)</t>
  </si>
  <si>
    <t>OWNER RELATIONSHIP TYPE</t>
  </si>
  <si>
    <t>OWNER RIGHTS VESTING CODE</t>
  </si>
  <si>
    <t>OWNER ETAL VESTING CODE</t>
  </si>
  <si>
    <t>OWNER STATUS</t>
  </si>
  <si>
    <t>DO NOT MAIL</t>
  </si>
  <si>
    <t>SITUS DIRECTION</t>
  </si>
  <si>
    <t>SITUS HOUSE NUMBER</t>
  </si>
  <si>
    <t>SITUS HOUSE NUMBER #2</t>
  </si>
  <si>
    <t>SITUS POST DIRECTION</t>
  </si>
  <si>
    <t>SITUS STREET NAME</t>
  </si>
  <si>
    <t>SITUS STREET NAME SUFFIX</t>
  </si>
  <si>
    <t>SITUS UNIT NUMBER</t>
  </si>
  <si>
    <t>SITUS CITY</t>
  </si>
  <si>
    <t>ALTERNATE SITUS CITY</t>
  </si>
  <si>
    <t>SITUS STATE</t>
  </si>
  <si>
    <t>SITUS ZIP CODE</t>
  </si>
  <si>
    <t>SITUS ZIP+4</t>
  </si>
  <si>
    <t>COUNTY</t>
  </si>
  <si>
    <t>SITUS CARRIER ROUTE</t>
  </si>
  <si>
    <t>SITUS STREET ADDRESS</t>
  </si>
  <si>
    <t>SITUS FULL ADDRESS</t>
  </si>
  <si>
    <t>MAIL DIRECTION</t>
  </si>
  <si>
    <t>MAIL HOUSE NUMBER</t>
  </si>
  <si>
    <t>MAIL HOUSE NUMBER #2</t>
  </si>
  <si>
    <t>MAIL POST DIRECTION</t>
  </si>
  <si>
    <t>MAIL STREET NAME</t>
  </si>
  <si>
    <t>MAIL STREET NAME SUFFIX</t>
  </si>
  <si>
    <t>MAIL UNIT NUMBER</t>
  </si>
  <si>
    <t>MAIL CITY</t>
  </si>
  <si>
    <t>ALTERNATE MAILING CITY</t>
  </si>
  <si>
    <t>MAIL STATE</t>
  </si>
  <si>
    <t>MAIL ZIP/ZIP+4</t>
  </si>
  <si>
    <t>MAIL CARRIER ROUTE</t>
  </si>
  <si>
    <t>MAILING STREET ADDRESS</t>
  </si>
  <si>
    <t>MAILING FULL ADDRESS</t>
  </si>
  <si>
    <t>MAILING COUNTRY</t>
  </si>
  <si>
    <t>LEGAL DESCRIPTION</t>
  </si>
  <si>
    <t>APN - FORMATTED</t>
  </si>
  <si>
    <t>APN - UNFORMATTED</t>
  </si>
  <si>
    <t>ALTERNATE APN</t>
  </si>
  <si>
    <t>FIPSCODE</t>
  </si>
  <si>
    <t>MUNICIPALITY/TOWNSHIP</t>
  </si>
  <si>
    <t>CENSUS TRACT</t>
  </si>
  <si>
    <t>CENSUS BLOCK</t>
  </si>
  <si>
    <t>OPPORTUNITY ZONE</t>
  </si>
  <si>
    <t>TOWNSHIP</t>
  </si>
  <si>
    <t>RANGE</t>
  </si>
  <si>
    <t>SECTION</t>
  </si>
  <si>
    <t>QUARTER</t>
  </si>
  <si>
    <t>LATITUDE</t>
  </si>
  <si>
    <t>LONGITUDE</t>
  </si>
  <si>
    <t>SUBDIVISION</t>
  </si>
  <si>
    <t>TRACT</t>
  </si>
  <si>
    <t>APPRAISAL DISTRICT</t>
  </si>
  <si>
    <t>MACRO NEIGHBORHOOD</t>
  </si>
  <si>
    <t>NEIGHBORHOOD</t>
  </si>
  <si>
    <t>SUB NEIGHBORHOOD</t>
  </si>
  <si>
    <t>RESIDENTIAL NEIGHBORHOOD</t>
  </si>
  <si>
    <t>MAP REF1</t>
  </si>
  <si>
    <t>MAP REF2</t>
  </si>
  <si>
    <t>LEGAL BOOK</t>
  </si>
  <si>
    <t>LEGAL PAGE</t>
  </si>
  <si>
    <t>LEGAL LOT</t>
  </si>
  <si>
    <t>LEGAL BLOCK</t>
  </si>
  <si>
    <t>GROSS AREA</t>
  </si>
  <si>
    <t>LIVING AREA</t>
  </si>
  <si>
    <t>BASE/MAIN AREA</t>
  </si>
  <si>
    <t>GROUND FLOOR AREA</t>
  </si>
  <si>
    <t>ADJUSTED AREA (TOTAL)</t>
  </si>
  <si>
    <t>ABOVE GRADE SQFT</t>
  </si>
  <si>
    <t>ADDITION AREA</t>
  </si>
  <si>
    <t>YEAR BUILT</t>
  </si>
  <si>
    <t>YEAR BUILT (EFFECTIVE)</t>
  </si>
  <si>
    <t>NUMBER OF ROOMS</t>
  </si>
  <si>
    <t>NUMBER OF BEDROOMS</t>
  </si>
  <si>
    <t>NUMBER OF BATHS</t>
  </si>
  <si>
    <t>BATHS/RESTROOMS (FULL)</t>
  </si>
  <si>
    <t>BATHS/RESTROOMS (HALF)</t>
  </si>
  <si>
    <t>FIXTURES NUMBER</t>
  </si>
  <si>
    <t>OTHER ROOMS</t>
  </si>
  <si>
    <t>DINING ROOMS</t>
  </si>
  <si>
    <t>FAMILY ROOMS</t>
  </si>
  <si>
    <t>STORIES NO.</t>
  </si>
  <si>
    <t>STORIES DESCRIPTION</t>
  </si>
  <si>
    <t>POOL</t>
  </si>
  <si>
    <t>POOL AREA</t>
  </si>
  <si>
    <t>FIREPLACE INDICATOR</t>
  </si>
  <si>
    <t>FIREPLACE NUMBER</t>
  </si>
  <si>
    <t>PARKING TYPE</t>
  </si>
  <si>
    <t>PARKING SPACES</t>
  </si>
  <si>
    <t>GARAGE TYPE</t>
  </si>
  <si>
    <t>GARAGE AREA</t>
  </si>
  <si>
    <t>BASEMENT TYPE</t>
  </si>
  <si>
    <t>BASEMENT AREA</t>
  </si>
  <si>
    <t>AIR CONDITIONING</t>
  </si>
  <si>
    <t>HEAT TYPE</t>
  </si>
  <si>
    <t>HEAT FUEL</t>
  </si>
  <si>
    <t>PATIO TYPE</t>
  </si>
  <si>
    <t>PATIO AREA</t>
  </si>
  <si>
    <t>PORCH TYPE</t>
  </si>
  <si>
    <t>PORCH 1 AREA</t>
  </si>
  <si>
    <t>STYLE</t>
  </si>
  <si>
    <t>ELECTRIC</t>
  </si>
  <si>
    <t>ROOF TYPE</t>
  </si>
  <si>
    <t>ROOF MATERIAL TYPE</t>
  </si>
  <si>
    <t>ROOF FRAME</t>
  </si>
  <si>
    <t>EXTERIOR WALL</t>
  </si>
  <si>
    <t>FLOOR TYPE</t>
  </si>
  <si>
    <t>FOUNDATION</t>
  </si>
  <si>
    <t>CONSTRUCTION TYPE</t>
  </si>
  <si>
    <t>QUALITY</t>
  </si>
  <si>
    <t>CONDITION</t>
  </si>
  <si>
    <t>FRAME</t>
  </si>
  <si>
    <t>EQUITY VALUE</t>
  </si>
  <si>
    <t>EQUITY PERCENTAGE</t>
  </si>
  <si>
    <t>ESTIMATED VALUE</t>
  </si>
  <si>
    <t>LAND USE</t>
  </si>
  <si>
    <t>STATE USE</t>
  </si>
  <si>
    <t>COUNTY LAND USE</t>
  </si>
  <si>
    <t>ZONING</t>
  </si>
  <si>
    <t>LOT AREA</t>
  </si>
  <si>
    <t>LOT ACREAGE</t>
  </si>
  <si>
    <t>LOT WIDTH</t>
  </si>
  <si>
    <t>LOT DEPTH</t>
  </si>
  <si>
    <t>USABLE LOT</t>
  </si>
  <si>
    <t>USABLE LOT AREA</t>
  </si>
  <si>
    <t>LOT SHAPE</t>
  </si>
  <si>
    <t>NO. RESIDENTIAL UNITS</t>
  </si>
  <si>
    <t>NO. COMMERCIAL UNITS</t>
  </si>
  <si>
    <t>NUMBER OF BUILDINGS</t>
  </si>
  <si>
    <t>WATER TYPE</t>
  </si>
  <si>
    <t>SEWER TYPE</t>
  </si>
  <si>
    <t>VIEW QUALITY</t>
  </si>
  <si>
    <t>SITE INFLUENCE</t>
  </si>
  <si>
    <t>FLOOD ZONE CODE</t>
  </si>
  <si>
    <t>FLOOD MAP #</t>
  </si>
  <si>
    <t>FLOOD PANEL #</t>
  </si>
  <si>
    <t>FLOOD MAP DATE</t>
  </si>
  <si>
    <t>COMMUNITY NAME</t>
  </si>
  <si>
    <t>INSIDE SFHA</t>
  </si>
  <si>
    <t>ASSESSMENT YEAR</t>
  </si>
  <si>
    <t>TAX YEAR</t>
  </si>
  <si>
    <t>TAX AREA</t>
  </si>
  <si>
    <t>EXEMPT-DISABLED</t>
  </si>
  <si>
    <t>EXEMPT-HOMESTEAD</t>
  </si>
  <si>
    <t>EXEMPT-RELIGIOUS</t>
  </si>
  <si>
    <t>EXEMPT-SCHOOL</t>
  </si>
  <si>
    <t>EXEMPT-SENIOR</t>
  </si>
  <si>
    <t>EXEMPT-UTILITIES</t>
  </si>
  <si>
    <t>EXEMPT-VETERAN</t>
  </si>
  <si>
    <t>EXEMPT-WIDOW</t>
  </si>
  <si>
    <t>HOSPITAL EXEMPTION</t>
  </si>
  <si>
    <t>LIBRARY EXEMPTION</t>
  </si>
  <si>
    <t>MUSEUM EXEMPTION</t>
  </si>
  <si>
    <t>WELFARE EXEMPTION</t>
  </si>
  <si>
    <t>CEMETERY EXEMPTION</t>
  </si>
  <si>
    <t>ASSESSED TOTAL VALUE</t>
  </si>
  <si>
    <t>ASSESSED LAND VALUE</t>
  </si>
  <si>
    <t>ASSESSED IMPROVEMENT VALUE</t>
  </si>
  <si>
    <t>ASSESSED IMPROVEMENT PERCENTAGE</t>
  </si>
  <si>
    <t>MARKET TOTAL VALUE</t>
  </si>
  <si>
    <t>MARKET LAND VALUE</t>
  </si>
  <si>
    <t>MARKET IMPROVEMENT VALUE</t>
  </si>
  <si>
    <t>MARKET IMPROVEMENT PERCENTAGE</t>
  </si>
  <si>
    <t>APPRAISED TOTAL VALUE</t>
  </si>
  <si>
    <t>APPRAISED LAND VALUE</t>
  </si>
  <si>
    <t>APPRAISED IMPROVEMENT VALUE</t>
  </si>
  <si>
    <t>APPRAISED IMPROVEMENT PERCENTAGE</t>
  </si>
  <si>
    <t>PROPERTY TAX</t>
  </si>
  <si>
    <t>TOTAL VALUE (TAXABLE)</t>
  </si>
  <si>
    <t>MARKET VALUE</t>
  </si>
  <si>
    <t>DELINQUENT TAX YR</t>
  </si>
  <si>
    <t>SCHOOL DISTRICT 1</t>
  </si>
  <si>
    <t>SCHOOL DISTRICT 2</t>
  </si>
  <si>
    <t>SCHOOL DISTRICT 3</t>
  </si>
  <si>
    <t>ELEMENTARY SCHOOL</t>
  </si>
  <si>
    <t>MIDDLE SCHOOL</t>
  </si>
  <si>
    <t>HIGH SCHOOL</t>
  </si>
  <si>
    <t>OT-SALE DATE</t>
  </si>
  <si>
    <t>OT-RECORDING DATE</t>
  </si>
  <si>
    <t>OT-SALE PRICE</t>
  </si>
  <si>
    <t>OT-DEED TYPE</t>
  </si>
  <si>
    <t>OT-1ST MTG DOCUMENT #</t>
  </si>
  <si>
    <t>OT-DOCUMENT NUMBER</t>
  </si>
  <si>
    <t>LMS-SALE DATE</t>
  </si>
  <si>
    <t>LMS-RECORDING DATE</t>
  </si>
  <si>
    <t>LMS-SALE PRICE</t>
  </si>
  <si>
    <t>LMS-SALE TYPE</t>
  </si>
  <si>
    <t>LMS-DEED TYPE</t>
  </si>
  <si>
    <t>LMS-SELLER NAME</t>
  </si>
  <si>
    <t>LMS-PRICE PER SQFT</t>
  </si>
  <si>
    <t>LMS-1ST MTG AMOUNT</t>
  </si>
  <si>
    <t>LMS-1ST MTG TYPE</t>
  </si>
  <si>
    <t>LMS-1ST MTG INT.RATE</t>
  </si>
  <si>
    <t>LMS-1ST MTG INT.RATE TYPE</t>
  </si>
  <si>
    <t>LMS-1ST MTG DOCUMENT #</t>
  </si>
  <si>
    <t>LMS-2ND MTG AMOUNT</t>
  </si>
  <si>
    <t>LMS-2ND MTG TYPE</t>
  </si>
  <si>
    <t>LMS-2ND MTG INT.RATE</t>
  </si>
  <si>
    <t>LMS-2ND MTG INT.RATE TYPE</t>
  </si>
  <si>
    <t>LMS-2ND MTG DOCUMENT #</t>
  </si>
  <si>
    <t>LMS-LENDER</t>
  </si>
  <si>
    <t>LMS-TITLE COMPANY</t>
  </si>
  <si>
    <t>LMS-NEW CONSTRUCTION</t>
  </si>
  <si>
    <t>LMS-MULTI /SPLIT SALE</t>
  </si>
  <si>
    <t>LMS-DOCUMENT NUMBER</t>
  </si>
  <si>
    <t>PRIOR SALE DATE</t>
  </si>
  <si>
    <t>PRIOR REC DATE</t>
  </si>
  <si>
    <t>PRIOR SALE PRICE</t>
  </si>
  <si>
    <t>PRIOR DEED TYPE</t>
  </si>
  <si>
    <t>PRIOR LENDER</t>
  </si>
  <si>
    <t>PRIOR 1ST MTG AMOUNT</t>
  </si>
  <si>
    <t>PRIOR 1ST MTG TYPE</t>
  </si>
  <si>
    <t>PRIOR 1ST MTG RATE TYPE</t>
  </si>
  <si>
    <t>PRIOR 1ST MTG RATE</t>
  </si>
  <si>
    <t>PRIOR DOC NUMBER</t>
  </si>
  <si>
    <t>LINK</t>
  </si>
  <si>
    <t>Jill DeWit</t>
  </si>
  <si>
    <t>Managing Member</t>
  </si>
  <si>
    <t>BuWit Family of Companies</t>
  </si>
  <si>
    <t>jill@BuWit.com</t>
  </si>
  <si>
    <t>BuWit.com</t>
  </si>
  <si>
    <t>INDIVIDUAL</t>
  </si>
  <si>
    <t>A</t>
  </si>
  <si>
    <t>AVE</t>
  </si>
  <si>
    <t>DR</t>
  </si>
  <si>
    <t>USA</t>
  </si>
  <si>
    <t>X</t>
  </si>
  <si>
    <t>N</t>
  </si>
  <si>
    <t>NO</t>
  </si>
  <si>
    <t>CORPORATE</t>
  </si>
  <si>
    <t>AE</t>
  </si>
  <si>
    <t>QUITCLAIM</t>
  </si>
  <si>
    <t>ST</t>
  </si>
  <si>
    <t>HUSBAND AND WIFE</t>
  </si>
  <si>
    <t>RD</t>
  </si>
  <si>
    <t>R001</t>
  </si>
  <si>
    <t>Y</t>
  </si>
  <si>
    <t>DEED</t>
  </si>
  <si>
    <t>PARTNERSHIP</t>
  </si>
  <si>
    <t>U</t>
  </si>
  <si>
    <t>CONVENTIONAL</t>
  </si>
  <si>
    <t>FIXED</t>
  </si>
  <si>
    <t>CT</t>
  </si>
  <si>
    <t>CORPORATION</t>
  </si>
  <si>
    <t>E</t>
  </si>
  <si>
    <t>S</t>
  </si>
  <si>
    <t>TRUST</t>
  </si>
  <si>
    <t>W</t>
  </si>
  <si>
    <t>QUIT CLAIM DEED</t>
  </si>
  <si>
    <t>B008</t>
  </si>
  <si>
    <t>C001</t>
  </si>
  <si>
    <t>CIR</t>
  </si>
  <si>
    <t>WA</t>
  </si>
  <si>
    <t>GENERAL WARRANTY DEED</t>
  </si>
  <si>
    <t>AUSTIN</t>
  </si>
  <si>
    <t>GLENDALE</t>
  </si>
  <si>
    <t>AMY</t>
  </si>
  <si>
    <t>CONFIRMED</t>
  </si>
  <si>
    <t>GILBERT</t>
  </si>
  <si>
    <t>WARRANTY DEED</t>
  </si>
  <si>
    <t>0225E</t>
  </si>
  <si>
    <t>DEAN</t>
  </si>
  <si>
    <t>Offer PPA</t>
  </si>
  <si>
    <t>Real PPA</t>
  </si>
  <si>
    <t>DELINQUENT TAX VALUE</t>
  </si>
  <si>
    <t>APACHE JUNCTION</t>
  </si>
  <si>
    <t>AZ</t>
  </si>
  <si>
    <t>PINAL</t>
  </si>
  <si>
    <t>VACANT LAND (NEC)</t>
  </si>
  <si>
    <t>0004 - VAC-UNDETERMINED-RUR NON SUBD</t>
  </si>
  <si>
    <t>0004-VACANT LAND-UNDETERMINED USE-RUR-NONSUBDIVID</t>
  </si>
  <si>
    <t>PINAL COUNTY</t>
  </si>
  <si>
    <t>APACHE JUNCTION UNIFIED DISTRICT</t>
  </si>
  <si>
    <t>CACTUS CANYON JUNIOR HIGH SCHOOL</t>
  </si>
  <si>
    <t>APACHE JUNCTION HIGH SCHOOL</t>
  </si>
  <si>
    <t>MARICOPA</t>
  </si>
  <si>
    <t>02E</t>
  </si>
  <si>
    <t>PINAL COUNTY UNINCORPORATED AREAS</t>
  </si>
  <si>
    <t>JAMES</t>
  </si>
  <si>
    <t>R010</t>
  </si>
  <si>
    <t>03S</t>
  </si>
  <si>
    <t>07E</t>
  </si>
  <si>
    <t>04021C0475E</t>
  </si>
  <si>
    <t>0475E</t>
  </si>
  <si>
    <t>COOLIDGE UNIFIED DISTRICT</t>
  </si>
  <si>
    <t>HEARTLAND RANCH ELEMENTARY SCHOOL</t>
  </si>
  <si>
    <t>HOHOKAM ELEMENTARY SCHOOL</t>
  </si>
  <si>
    <t>COOLIDGE HIGH SCHOOL</t>
  </si>
  <si>
    <t>VAR</t>
  </si>
  <si>
    <t>PHOENIX</t>
  </si>
  <si>
    <t>06S</t>
  </si>
  <si>
    <t>SURVEYS</t>
  </si>
  <si>
    <t>VACANT -RESIDENTIAL LAND</t>
  </si>
  <si>
    <t>STANFIELD ELEMENTARY DISTRICT</t>
  </si>
  <si>
    <t>STANFIELD ELEMENTARY SCHOOL</t>
  </si>
  <si>
    <t>VISTA GRANDE</t>
  </si>
  <si>
    <t>OWNER NAME UNAVAILABLE</t>
  </si>
  <si>
    <t>COOLIDGE</t>
  </si>
  <si>
    <t>05S</t>
  </si>
  <si>
    <t>09E</t>
  </si>
  <si>
    <t>ELOY</t>
  </si>
  <si>
    <t>MESA</t>
  </si>
  <si>
    <t>06E</t>
  </si>
  <si>
    <t>02S</t>
  </si>
  <si>
    <t>0014-VACANT LAND-RES-RURAL-NONSUBDVD</t>
  </si>
  <si>
    <t>CASA GRANDE</t>
  </si>
  <si>
    <t>07S</t>
  </si>
  <si>
    <t>PL</t>
  </si>
  <si>
    <t>04021C1200E</t>
  </si>
  <si>
    <t>1200E</t>
  </si>
  <si>
    <t>SINGLE MAN</t>
  </si>
  <si>
    <t>FIDELITY NATIONAL TITLE</t>
  </si>
  <si>
    <t>0013-VACANT LAND-RES-RURAL-SUBDIVIDED</t>
  </si>
  <si>
    <t>CASA GRANDE ELEMENTARY DISTRICT</t>
  </si>
  <si>
    <t>DESERT WILLOW ELEMENTARY SCHOOL</t>
  </si>
  <si>
    <t>VILLAGO MIDDLE SCHOOL</t>
  </si>
  <si>
    <t>CASA GRANDE UNION HIGH SCHOOL</t>
  </si>
  <si>
    <t>M &amp; I MARSHALL &amp; ISLEY BANK</t>
  </si>
  <si>
    <t>APACHE JCT</t>
  </si>
  <si>
    <t>JOINT TENANT</t>
  </si>
  <si>
    <t>0013 - VAC-RES-RURAL SUBD</t>
  </si>
  <si>
    <t>0071 - INCOMPLETE SUBD PCL-URB SUBD</t>
  </si>
  <si>
    <t>0071-VACANT LAND-INC SUB-URB-SUBDIVIDED</t>
  </si>
  <si>
    <t>GRANT DEED</t>
  </si>
  <si>
    <t>SPECIAL WARRANTY DEED</t>
  </si>
  <si>
    <t>MAIN</t>
  </si>
  <si>
    <t>TOLTEC ELEMENTARY DISTRICT</t>
  </si>
  <si>
    <t>ARIZONA CITY ELEMENTARY SCHOOL</t>
  </si>
  <si>
    <t>FIRST AMERICAN TITLE</t>
  </si>
  <si>
    <t>BLVD</t>
  </si>
  <si>
    <t>COMMUNITY PROPERTY</t>
  </si>
  <si>
    <t xml:space="preserve">AZ </t>
  </si>
  <si>
    <t>CASA GRANDE MONTANAS LLP</t>
  </si>
  <si>
    <t>PASEO CALLADO</t>
  </si>
  <si>
    <t xml:space="preserve">9343 W PASEO CALLADO </t>
  </si>
  <si>
    <t xml:space="preserve">9343 W PASEO CALLADO  AZ </t>
  </si>
  <si>
    <t>38TH</t>
  </si>
  <si>
    <t>C031</t>
  </si>
  <si>
    <t xml:space="preserve">10032 N 38TH ST </t>
  </si>
  <si>
    <t xml:space="preserve">10032 N 38TH ST  PHOENIX, AZ 85028-4012 </t>
  </si>
  <si>
    <t>LOT 098 LAS MONTANAS UNIT 2 CAB G SLD 074 SEC 29 05S-07E 1.25 AC</t>
  </si>
  <si>
    <t>LAS MONTANAS UNIT 2</t>
  </si>
  <si>
    <t>LAS MONTANAS</t>
  </si>
  <si>
    <t>2905S07E</t>
  </si>
  <si>
    <t>M &amp; T MORTGAGE CORP</t>
  </si>
  <si>
    <t>CON</t>
  </si>
  <si>
    <t>GOLD CANYON</t>
  </si>
  <si>
    <t>PERALTA TRAIL ELEMENTARY SCHOOL</t>
  </si>
  <si>
    <t>EMPIRE W TITLE AGENCY</t>
  </si>
  <si>
    <t>3603S07E</t>
  </si>
  <si>
    <t>10E</t>
  </si>
  <si>
    <t>PIONEER TITLE CO</t>
  </si>
  <si>
    <t>GRAND CANYON TITLE</t>
  </si>
  <si>
    <t>SECURITY TITLE CO</t>
  </si>
  <si>
    <t>SHELLY</t>
  </si>
  <si>
    <t>CHANDLER</t>
  </si>
  <si>
    <t>C014</t>
  </si>
  <si>
    <t>UNK</t>
  </si>
  <si>
    <t>PASEO LOMA</t>
  </si>
  <si>
    <t>CASA GRANDE R/E DEV CORP</t>
  </si>
  <si>
    <t>CANYON</t>
  </si>
  <si>
    <t>LUCY</t>
  </si>
  <si>
    <t>R011</t>
  </si>
  <si>
    <t>C025</t>
  </si>
  <si>
    <t>R029</t>
  </si>
  <si>
    <t>2503S07E</t>
  </si>
  <si>
    <t>PLEASANT</t>
  </si>
  <si>
    <t>BRITTANY</t>
  </si>
  <si>
    <t>HIDDEN VALLEY</t>
  </si>
  <si>
    <t>04021C1100E</t>
  </si>
  <si>
    <t>1100E</t>
  </si>
  <si>
    <t>BEEMAN RAW PROPERTIES LLC</t>
  </si>
  <si>
    <t>RUNNING DEER</t>
  </si>
  <si>
    <t xml:space="preserve">W RUNNING DEER DR </t>
  </si>
  <si>
    <t xml:space="preserve">W RUNNING DEER DR  GOLD CANYON, AZ 85118 </t>
  </si>
  <si>
    <t xml:space="preserve">11125 E PLEASANT PL </t>
  </si>
  <si>
    <t xml:space="preserve">11125 E PLEASANT PL  GOLD CANYON, AZ 85118-6804 </t>
  </si>
  <si>
    <t>BEG @ SW COR OF SW SE NW SE OF SEC 4-02S-10E TH N-332.26 TH E- 32 9.62 TH S-145 TH W-40 TH N-75DE-69.2 TH N-83DE-112.57 TH W-50. 46 TH S-215.44 TH W-60.33 TO POB 1.25 AC</t>
  </si>
  <si>
    <t>0402S10E</t>
  </si>
  <si>
    <t>04021C0240E</t>
  </si>
  <si>
    <t>0240E</t>
  </si>
  <si>
    <t>SUPERIOR UNIFIED SCHOOL DISTRICT</t>
  </si>
  <si>
    <t>JOHN F KENNEDY SCHOOL</t>
  </si>
  <si>
    <t>SUPERIOR JUNIOR HIGH SCHOOL</t>
  </si>
  <si>
    <t>SUPERIOR SENIOR HIGH SCHOOL</t>
  </si>
  <si>
    <t xml:space="preserve"> GOLD CANYON, AZ 85118 </t>
  </si>
  <si>
    <t>VALLEY FORTY ACRES</t>
  </si>
  <si>
    <t>0003 - VAC-UNDETERMINED-RURAL SUBD</t>
  </si>
  <si>
    <t>04021C1545E</t>
  </si>
  <si>
    <t>1545E</t>
  </si>
  <si>
    <t>JOSE</t>
  </si>
  <si>
    <t>VICKI</t>
  </si>
  <si>
    <t>01S</t>
  </si>
  <si>
    <t>JOSHUA K PRUETT</t>
  </si>
  <si>
    <t>JOSHUA K</t>
  </si>
  <si>
    <t>JOSHUA</t>
  </si>
  <si>
    <t>PRUETT</t>
  </si>
  <si>
    <t>BRITTANY D PRUETT</t>
  </si>
  <si>
    <t>BRITTANY D</t>
  </si>
  <si>
    <t>JOSHUA &amp; BRITTANY PRUETT</t>
  </si>
  <si>
    <t>PRUETT JOSHUA K &amp; BRITTANY D</t>
  </si>
  <si>
    <t>MARTHA</t>
  </si>
  <si>
    <t xml:space="preserve">1332 E MARTHA DR </t>
  </si>
  <si>
    <t xml:space="preserve">1332 E MARTHA DR  CASA GRANDE, AZ 85122-5455 </t>
  </si>
  <si>
    <t>COM @ THE W4 COR OF SEC 31-05S-07E TH E-654.04 TH S-328.73 TH E-3 28.12 TO POB TH S-332 TH E-164.06 TH N-332 TH W-164.06 TO POB  AK A PARCEL B-3 IN BK 20 OF SURVEYS PG 107  1.25 AC</t>
  </si>
  <si>
    <t>MORRISSETTE AURELE &amp; MARGARET S</t>
  </si>
  <si>
    <t>ATKINSON JAMES</t>
  </si>
  <si>
    <t>ATKINSON</t>
  </si>
  <si>
    <t>ATKINSON AMY JO</t>
  </si>
  <si>
    <t>AMY JO</t>
  </si>
  <si>
    <t>JAMES &amp; AMY ATKINSON</t>
  </si>
  <si>
    <t>ATKINSON JAMES ATKINSON AMY JO</t>
  </si>
  <si>
    <t>QUEEN VALLEY</t>
  </si>
  <si>
    <t xml:space="preserve"> QUEEN VALLEY, AZ 85118 </t>
  </si>
  <si>
    <t xml:space="preserve">13811 S CANYON DR </t>
  </si>
  <si>
    <t xml:space="preserve">13811 S CANYON DR  PHOENIX, AZ 85048-9084 </t>
  </si>
  <si>
    <t>E1/2 SW NW NE SE OF SEC 4-2S-10E 1.25 AC</t>
  </si>
  <si>
    <t>METZGER KATHLEEN A</t>
  </si>
  <si>
    <t>0406S02E</t>
  </si>
  <si>
    <t>REDFIELD FINANCIAL INC</t>
  </si>
  <si>
    <t>C036</t>
  </si>
  <si>
    <t>HARRISON</t>
  </si>
  <si>
    <t>ND</t>
  </si>
  <si>
    <t>3105S07E</t>
  </si>
  <si>
    <t>RE-RECORDED DEED</t>
  </si>
  <si>
    <t>BETHUNE KENNETH</t>
  </si>
  <si>
    <t>KENNETH</t>
  </si>
  <si>
    <t>BETHUNE</t>
  </si>
  <si>
    <t>BETHUNE PHYLLIS</t>
  </si>
  <si>
    <t>PHYLLIS</t>
  </si>
  <si>
    <t>KENNETH &amp; PHYLLIS BETHUNE</t>
  </si>
  <si>
    <t>BETHUNE KENNETH BETHUNE PHYLLIS</t>
  </si>
  <si>
    <t xml:space="preserve">9279 W PASEO CALLADO </t>
  </si>
  <si>
    <t xml:space="preserve">9279 W PASEO CALLADO  AZ </t>
  </si>
  <si>
    <t>DUNCAN CREEK</t>
  </si>
  <si>
    <t>STEVENSON</t>
  </si>
  <si>
    <t xml:space="preserve">1804 DUNCAN CREEK RD </t>
  </si>
  <si>
    <t xml:space="preserve">1804 DUNCAN CREEK RD  STEVENSON, WA 98648-6116 </t>
  </si>
  <si>
    <t>LOT 097 LAS MONTANAS UNIT 2 CAB G SLD 074 SEC 29 05S-07E 1.25 AC</t>
  </si>
  <si>
    <t>1907S06E</t>
  </si>
  <si>
    <t>JOSE L</t>
  </si>
  <si>
    <t>IN</t>
  </si>
  <si>
    <t>BONANZA HIGHLANDS AMD</t>
  </si>
  <si>
    <t>ZAREMBA LESLIE T</t>
  </si>
  <si>
    <t>LESLIE T</t>
  </si>
  <si>
    <t>LESLIE</t>
  </si>
  <si>
    <t>ZAREMBA</t>
  </si>
  <si>
    <t>LESLIE ZAREMBA</t>
  </si>
  <si>
    <t xml:space="preserve">HIDDEN VALLEY RD </t>
  </si>
  <si>
    <t xml:space="preserve">HIDDEN VALLEY RD  AZ </t>
  </si>
  <si>
    <t>R112</t>
  </si>
  <si>
    <t xml:space="preserve">3061 E AUSTIN DR </t>
  </si>
  <si>
    <t xml:space="preserve">3061 E AUSTIN DR  GILBERT, AZ 85296 </t>
  </si>
  <si>
    <t>S2 SE SE SE SE OF SEC 4-6S-2E 1.25 AC AKA: PCL 5 BK-15 PG-257 OF SURVEYS HIDDEN VALLEY FORTY ACRES</t>
  </si>
  <si>
    <t>DEBBRA K CHRISTOFF</t>
  </si>
  <si>
    <t>DEBBRA K</t>
  </si>
  <si>
    <t>DEBBRA</t>
  </si>
  <si>
    <t>CHRISTOFF</t>
  </si>
  <si>
    <t>K DEBBRA</t>
  </si>
  <si>
    <t>CHRISTOFF DEBBRA K</t>
  </si>
  <si>
    <t>9TH</t>
  </si>
  <si>
    <t>BISMARCK</t>
  </si>
  <si>
    <t xml:space="preserve">323 S 9TH ST </t>
  </si>
  <si>
    <t xml:space="preserve">323 S 9TH ST  BISMARCK, ND 58504-5612 </t>
  </si>
  <si>
    <t>COM @ SE CORNER OF SEC 4-1S-9E TH W-1655.05 TH N-491.25 TO POB TH W-322.87 TH N-168.66 TH E-322.87 TH S-168.66 TO POB AKA LOT 4 BK 13 OF SURVEYS PG 30 54455 SQ FT 1.25 AC</t>
  </si>
  <si>
    <t>0401S09E</t>
  </si>
  <si>
    <t>04021C0225E</t>
  </si>
  <si>
    <t>STREIFF STEVEN F &amp; KAREN L</t>
  </si>
  <si>
    <t>VANDEN HEUVEL DEAN P</t>
  </si>
  <si>
    <t>HEUVEL DEAN P</t>
  </si>
  <si>
    <t>HEUVEL</t>
  </si>
  <si>
    <t>VANDEN</t>
  </si>
  <si>
    <t>VANDEN VICKI S</t>
  </si>
  <si>
    <t>VICKI S</t>
  </si>
  <si>
    <t>HEUVEL &amp; VICKI VANDEN</t>
  </si>
  <si>
    <t>VANDEN HEUVEL DEAN P VANDEN VICKI S</t>
  </si>
  <si>
    <t xml:space="preserve">9477 W PASEO LOMA </t>
  </si>
  <si>
    <t xml:space="preserve">9477 W PASEO LOMA  AZ </t>
  </si>
  <si>
    <t>OLEANDER</t>
  </si>
  <si>
    <t xml:space="preserve">3295 S OLEANDER DR </t>
  </si>
  <si>
    <t xml:space="preserve">3295 S OLEANDER DR  CHANDLER, AZ 85248-3651 </t>
  </si>
  <si>
    <t>LOT 107 LAS MONTANAS UNIT 2 CAB G SLD 074 SEC 29 05S-07E 1.25 AC</t>
  </si>
  <si>
    <t>CLK CUSTOM INC</t>
  </si>
  <si>
    <t>DARRIN</t>
  </si>
  <si>
    <t>NORTH AMERICAN ENVIRONMENTAL CORP</t>
  </si>
  <si>
    <t>KINGS RANCH</t>
  </si>
  <si>
    <t xml:space="preserve">S KINGS RANCH RD </t>
  </si>
  <si>
    <t xml:space="preserve">S KINGS RANCH RD  GOLD CANYON, AZ 85118 </t>
  </si>
  <si>
    <t>GALVESTON</t>
  </si>
  <si>
    <t>R034</t>
  </si>
  <si>
    <t xml:space="preserve">3366 W GALVESTON DR #103 </t>
  </si>
  <si>
    <t xml:space="preserve">3366 W GALVESTON DR #103, APACHE JUNCTION, AZ 85120-7194 </t>
  </si>
  <si>
    <t>COM @ THE MONUMENT LINE INTER OF KINGS RNCH RD W/TOPAS DR BK-10 P G-38 OF MAPS SEC 8-1S-9E TH N42D E-38.11 TH S47D E-50 TO POB TH N 42D E-303.58 TH S55D E-182.15 TH S42D W-303.58 TH N55D W-182.15 T O POB 1.25 AC</t>
  </si>
  <si>
    <t>0801S09E</t>
  </si>
  <si>
    <t>COMMERCIAL LOT</t>
  </si>
  <si>
    <t>0023 - VAC-COMM-RURAL SUBD</t>
  </si>
  <si>
    <t>0023-VACANT LAND-COMMERCIAL-RURAL SUBDIVIDED</t>
  </si>
  <si>
    <t>FLASH &amp; THE BOYS LLC</t>
  </si>
  <si>
    <t>COMMONWEALTH LAND TITLE INS</t>
  </si>
  <si>
    <t>LISA</t>
  </si>
  <si>
    <t>CANEZ FELIPE</t>
  </si>
  <si>
    <t>FELIPE</t>
  </si>
  <si>
    <t>CANEZ</t>
  </si>
  <si>
    <t>CANEZ MONICA</t>
  </si>
  <si>
    <t>MONICA</t>
  </si>
  <si>
    <t>FELIPE &amp; MONICA CANEZ</t>
  </si>
  <si>
    <t>CANEZ FELIPE CANEZ MONICA</t>
  </si>
  <si>
    <t>MYERS</t>
  </si>
  <si>
    <t xml:space="preserve">401 N MYERS BLVD </t>
  </si>
  <si>
    <t xml:space="preserve">401 N MYERS BLVD  ELOY, AZ 85131-1926 </t>
  </si>
  <si>
    <t>W 163.51 OF E 901.28 OF N2 N2 N2 SE OF SEC 19 7S 6E  AKA: PARCEL D 2 OF BK 20 PG 70 OF SURVEYS  1.25 AC</t>
  </si>
  <si>
    <t>FORECLOSURE</t>
  </si>
  <si>
    <t>C035</t>
  </si>
  <si>
    <t>MACK DARRIN</t>
  </si>
  <si>
    <t>MACK</t>
  </si>
  <si>
    <t>DARRIN MACK</t>
  </si>
  <si>
    <t>SUNSET PEAK</t>
  </si>
  <si>
    <t xml:space="preserve">10958 E SUNSET PEAK RD </t>
  </si>
  <si>
    <t xml:space="preserve">10958 E SUNSET PEAK RD  GOLD CANYON, AZ 85118 </t>
  </si>
  <si>
    <t>ADOBE</t>
  </si>
  <si>
    <t xml:space="preserve">44400 W ADOBE CIR </t>
  </si>
  <si>
    <t xml:space="preserve">44400 W ADOBE CIR  MARICOPA, AZ 85139-8823 </t>
  </si>
  <si>
    <t>E-200 OF S-272.50 OF SW SE SE OF SEC 4-1S-9E AKA PCL AA BK 18 OF SURVEYS PG 51 1.25 AC</t>
  </si>
  <si>
    <t>GEISLER RICHARD</t>
  </si>
  <si>
    <t>BUNCH CHAD J &amp; BRENDA CO TRS</t>
  </si>
  <si>
    <t>CHAD &amp; BRENDA BUNCH</t>
  </si>
  <si>
    <t>MONTE CRISTO</t>
  </si>
  <si>
    <t xml:space="preserve">5226 W MONTE CRISTO AVE </t>
  </si>
  <si>
    <t xml:space="preserve">5226 W MONTE CRISTO AVE  GLENDALE, AZ 85306-2507 </t>
  </si>
  <si>
    <t>W1/2 NW NE NW SE OF SEC 4-2S-10E 1.25 AC</t>
  </si>
  <si>
    <t>EMMANS LISA S</t>
  </si>
  <si>
    <t>LISA S</t>
  </si>
  <si>
    <t>EMMANS</t>
  </si>
  <si>
    <t>LISA EMMANS</t>
  </si>
  <si>
    <t>CARIOTT</t>
  </si>
  <si>
    <t xml:space="preserve">5375 S CARIOTT CT </t>
  </si>
  <si>
    <t xml:space="preserve">5375 S CARIOTT CT  GOLD CANYON, AZ 85118 </t>
  </si>
  <si>
    <t xml:space="preserve">5375 S CARIOTT CT  GOLD CANYON, AZ 85118-3342 </t>
  </si>
  <si>
    <t>COM @ THE SE COR OF SEC 4-1S-9E TH W-660.15 TH N-396.00 TO POB TH N-136.00 TH E-208.00 TH N-75DE-326.52 TH S-7.00 TH S-53DW-351.11 TH W-243.00 TO POB AKA PCL NO. 2 IN BK-15 PG-189 1.25 AC</t>
  </si>
  <si>
    <t>COMMUNITY BANK ARIZONA</t>
  </si>
  <si>
    <t>BARSCH LARRY W</t>
  </si>
  <si>
    <t>LARRY W</t>
  </si>
  <si>
    <t>LARRY</t>
  </si>
  <si>
    <t>BARSCH</t>
  </si>
  <si>
    <t>BARSCH LUCY V</t>
  </si>
  <si>
    <t>LUCY V</t>
  </si>
  <si>
    <t>LARRY &amp; LUCY BARSCH</t>
  </si>
  <si>
    <t>BARSCH LARRY W BARSCH LUCY V</t>
  </si>
  <si>
    <t>ROSEDALE</t>
  </si>
  <si>
    <t xml:space="preserve">6646 W 900 S </t>
  </si>
  <si>
    <t xml:space="preserve">6646 W 900 S  ROSEDALE, IN 47874-7112 </t>
  </si>
  <si>
    <t>BONANZA HIGHLANDS AMD E2 OF N2 OF W2 OF NE PCL 30 SEC 36 T3S R7E  AKA LOT 2 SURVEY BK 18 PG 25  1.25 AC</t>
  </si>
  <si>
    <t>PLUNKETT DONALD L JR</t>
  </si>
  <si>
    <t>DHI TITLE OF ARIZONA</t>
  </si>
  <si>
    <t>VERBEECK JOSE L</t>
  </si>
  <si>
    <t>VERBEECK</t>
  </si>
  <si>
    <t>SALVATIERRA LISSET V</t>
  </si>
  <si>
    <t>LISSET V</t>
  </si>
  <si>
    <t>LISSET</t>
  </si>
  <si>
    <t>SALVATIERRA</t>
  </si>
  <si>
    <t>JOSE VERBEECK &amp; LISSET SALVATIERRA</t>
  </si>
  <si>
    <t>VERBEECK JOSE L SALVATIERRA LISSET V</t>
  </si>
  <si>
    <t xml:space="preserve">9913 E MAIN ST #36 </t>
  </si>
  <si>
    <t xml:space="preserve">9913 E MAIN ST #36, MESA, AZ 85207-8937 </t>
  </si>
  <si>
    <t>N1/2 N1/2 W1/2 NW SEC 25 3S 7E OF PARCEL 17 BONANZA HIGHLANDS AM D IN BK 2 OF SURVEYS PG 192   AKA LOT 17 NW1 IN BK 12 OF SURVEYS PG 289  1.25 AC</t>
  </si>
  <si>
    <t>SANCHEZ JAHZIEL J</t>
  </si>
  <si>
    <t>B012</t>
  </si>
  <si>
    <t>ZEN FOCUS LLC</t>
  </si>
  <si>
    <t>PO BOX 1216</t>
  </si>
  <si>
    <t xml:space="preserve">PO BOX 1216 </t>
  </si>
  <si>
    <t xml:space="preserve">PO BOX 1216  MARICOPA, AZ 85139 </t>
  </si>
  <si>
    <t>E1/2 SW NE NW SE OF SEC 4-2S-10E 1.25 AC</t>
  </si>
  <si>
    <t>VESPER PROPERTIES LLC</t>
  </si>
  <si>
    <t>B003</t>
  </si>
  <si>
    <t>PEW ENTERPRISES LLLP</t>
  </si>
  <si>
    <t xml:space="preserve">9342 W PASEO LOMA </t>
  </si>
  <si>
    <t xml:space="preserve">9342 W PASEO LOMA  AZ </t>
  </si>
  <si>
    <t>PO BOX 266</t>
  </si>
  <si>
    <t xml:space="preserve">PO BOX 266 </t>
  </si>
  <si>
    <t xml:space="preserve">PO BOX 266  COOLIDGE, AZ 85128 </t>
  </si>
  <si>
    <t>LOT 102 LAS MONTANAS UNIT 2 CAB G SLD 074 SEC 29 05S-07E 1.25 AC</t>
  </si>
  <si>
    <t>ADVANCE HOLDINGS LLC</t>
  </si>
  <si>
    <t>SELECT INVESTMENTS LLC</t>
  </si>
  <si>
    <t>DEAN R HARRISON</t>
  </si>
  <si>
    <t>DEAN R</t>
  </si>
  <si>
    <t>SHELLY M HARRISON</t>
  </si>
  <si>
    <t>SHELLY M</t>
  </si>
  <si>
    <t>DEAN &amp; SHELLY HARRISON</t>
  </si>
  <si>
    <t>HARRISON DEAN R &amp; SHELLY M</t>
  </si>
  <si>
    <t>PO BOX 828</t>
  </si>
  <si>
    <t>OMAK</t>
  </si>
  <si>
    <t xml:space="preserve">PO BOX 828 </t>
  </si>
  <si>
    <t xml:space="preserve">PO BOX 828  OMAK, WA 98841 </t>
  </si>
  <si>
    <t>PARCEL B 1 IN BK 20 OF SURVEYS PG 107 IN SEC 31 5S 7E  1.25 AC</t>
  </si>
  <si>
    <t>MORRISSETTE AURELE &amp; MARGARET</t>
  </si>
  <si>
    <t>8390 E Via De Ventura F110-254</t>
  </si>
  <si>
    <t>Scottsdale</t>
  </si>
  <si>
    <t>(480) 467-0359</t>
  </si>
  <si>
    <t>Situs Zip</t>
  </si>
  <si>
    <t>from gps</t>
  </si>
  <si>
    <t>Mail Merge Name</t>
  </si>
  <si>
    <t>Extra1</t>
  </si>
  <si>
    <t>Extra2</t>
  </si>
  <si>
    <t>Extra3</t>
  </si>
  <si>
    <t>Extra4</t>
  </si>
  <si>
    <t>Extra5</t>
  </si>
  <si>
    <t>SET PRICE</t>
  </si>
  <si>
    <t>RAW DATA FROM DATATREE</t>
  </si>
  <si>
    <t>LASTLINE</t>
  </si>
  <si>
    <t>From Customer</t>
  </si>
  <si>
    <t>JN7565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</si>
</sst>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14" fontId="0" fillId="0" borderId="0" xfId="0" applyNumberFormat="1"/>
    <xf numFmtId="8" fontId="0" fillId="0" borderId="0" xfId="0" applyNumberFormat="1"/>
    <xf numFmtId="9" fontId="0" fillId="0" borderId="0" xfId="0" applyNumberFormat="1"/>
    <xf numFmtId="44" fontId="0" fillId="0" borderId="0" xfId="0" applyNumberFormat="1"/>
    <xf numFmtId="0" fontId="0" fillId="33" borderId="0" xfId="0" applyFill="1"/>
    <xf numFmtId="0" fontId="14" fillId="0" borderId="0" xfId="0" applyFont="1"/>
    <xf numFmtId="2" fontId="0" fillId="0" borderId="0" xfId="0" applyNumberFormat="1"/>
    <xf numFmtId="4" fontId="0" fillId="0" borderId="0" xfId="0" applyNumberFormat="1"/>
    <xf numFmtId="0" fontId="0" fillId="0" borderId="0" xfId="0" applyFill="1"/>
    <xf numFmtId="8" fontId="0" fillId="0" borderId="0" xfId="0" applyNumberFormat="1" applyFill="1" applyAlignment="1">
      <alignment horizontal="center"/>
    </xf>
    <xf numFmtId="44" fontId="0" fillId="0" borderId="0" xfId="0" applyNumberFormat="1" applyFill="1"/>
    <xf numFmtId="14" fontId="14" fillId="0" borderId="0" xfId="0" applyNumberFormat="1" applyFont="1"/>
    <xf numFmtId="0" fontId="19" fillId="0" borderId="0" xfId="0" applyFont="1"/>
    <xf numFmtId="0" fontId="19" fillId="33" borderId="0" xfId="0" applyFont="1" applyFill="1"/>
    <xf numFmtId="44" fontId="19" fillId="0" borderId="0" xfId="0" applyNumberFormat="1" applyFont="1"/>
    <xf numFmtId="0" fontId="0" fillId="34" borderId="0" xfId="0" applyFill="1"/>
    <xf numFmtId="0" fontId="0" fillId="35" borderId="0" xfId="0" applyFill="1"/>
    <xf numFmtId="0" fontId="0" fillId="0" borderId="0" xfId="0" quotePrefix="1"/>
    <xf numFmtId="41" fontId="0" fillId="0" borderId="0" xfId="0" applyNumberFormat="1" applyFill="1"/>
    <xf numFmtId="41" fontId="0" fillId="0" borderId="0" xfId="0" applyNumberForma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3" fontId="20" fillId="0" borderId="0" xfId="0" applyNumberFormat="1" applyFont="1" applyAlignment="1">
      <alignment horizontal="center"/>
    </xf>
    <xf numFmtId="43" fontId="0" fillId="0" borderId="0" xfId="0" applyNumberFormat="1"/>
    <xf numFmtId="43" fontId="14" fillId="0" borderId="0" xfId="0" applyNumberFormat="1" applyFont="1"/>
    <xf numFmtId="41" fontId="20" fillId="0" borderId="0" xfId="0" applyNumberFormat="1" applyFont="1" applyAlignment="1">
      <alignment horizontal="center"/>
    </xf>
    <xf numFmtId="41" fontId="14" fillId="0" borderId="0" xfId="0" applyNumberFormat="1" applyFont="1"/>
    <xf numFmtId="9" fontId="0" fillId="36" borderId="0" xfId="42" applyFont="1" applyFill="1"/>
    <xf numFmtId="8" fontId="0" fillId="0" borderId="0" xfId="0" applyNumberForma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N25"/>
  <sheetViews>
    <sheetView tabSelected="1" topLeftCell="AA1" zoomScale="175" zoomScaleNormal="175" workbookViewId="0">
      <pane ySplit="2" topLeftCell="A3" activePane="bottomLeft" state="frozen"/>
      <selection activeCell="B1" sqref="B1"/>
      <selection pane="bottomLeft" activeCell="AM4" sqref="AM4"/>
    </sheetView>
  </sheetViews>
  <sheetFormatPr defaultRowHeight="15" x14ac:dyDescent="0.25"/>
  <cols>
    <col min="1" max="1" width="16.85546875" bestFit="1" customWidth="1"/>
    <col min="2" max="12" width="15.7109375" customWidth="1"/>
    <col min="13" max="13" width="15.7109375" style="13" customWidth="1"/>
    <col min="14" max="14" width="15.7109375" customWidth="1"/>
    <col min="15" max="16" width="15.7109375" style="9" customWidth="1"/>
    <col min="17" max="18" width="15.7109375" customWidth="1"/>
    <col min="19" max="19" width="13.7109375" customWidth="1"/>
    <col min="20" max="20" width="12.7109375" style="13" customWidth="1"/>
    <col min="21" max="21" width="13.140625" customWidth="1"/>
    <col min="23" max="23" width="11" customWidth="1"/>
    <col min="24" max="24" width="14" customWidth="1"/>
    <col min="25" max="25" width="17.7109375" customWidth="1"/>
    <col min="26" max="26" width="47.140625" customWidth="1"/>
    <col min="27" max="27" width="16" customWidth="1"/>
    <col min="29" max="29" width="13.7109375" customWidth="1"/>
    <col min="30" max="30" width="9.140625" style="6"/>
    <col min="31" max="31" width="15.7109375" style="20" customWidth="1"/>
    <col min="32" max="32" width="10.7109375" style="28" bestFit="1" customWidth="1"/>
    <col min="33" max="33" width="9.5703125" style="26" customWidth="1"/>
    <col min="34" max="34" width="9.140625" style="6"/>
    <col min="41" max="41" width="17.7109375" bestFit="1" customWidth="1"/>
    <col min="99" max="99" width="14" bestFit="1" customWidth="1"/>
    <col min="100" max="100" width="14.140625" bestFit="1" customWidth="1"/>
    <col min="108" max="108" width="22.7109375" bestFit="1" customWidth="1"/>
    <col min="194" max="194" width="10" bestFit="1" customWidth="1"/>
    <col min="217" max="217" width="23.7109375" customWidth="1"/>
    <col min="218" max="218" width="24.28515625" customWidth="1"/>
    <col min="225" max="225" width="14.28515625" customWidth="1"/>
    <col min="226" max="226" width="20" customWidth="1"/>
    <col min="227" max="227" width="18.42578125" customWidth="1"/>
    <col min="238" max="238" width="13.85546875" customWidth="1"/>
    <col min="242" max="242" width="11.140625" bestFit="1" customWidth="1"/>
    <col min="243" max="243" width="10" bestFit="1" customWidth="1"/>
    <col min="244" max="244" width="19.85546875" style="9" customWidth="1"/>
    <col min="249" max="249" width="13.85546875" bestFit="1" customWidth="1"/>
  </cols>
  <sheetData>
    <row r="1" spans="1:274" x14ac:dyDescent="0.25">
      <c r="A1" t="s">
        <v>659</v>
      </c>
      <c r="B1" t="s">
        <v>658</v>
      </c>
      <c r="C1" t="s">
        <v>658</v>
      </c>
      <c r="D1" t="s">
        <v>658</v>
      </c>
      <c r="E1" t="s">
        <v>658</v>
      </c>
      <c r="F1" t="s">
        <v>658</v>
      </c>
      <c r="G1" t="s">
        <v>658</v>
      </c>
      <c r="H1" t="s">
        <v>658</v>
      </c>
      <c r="I1" t="s">
        <v>658</v>
      </c>
      <c r="J1" t="s">
        <v>658</v>
      </c>
      <c r="K1" t="s">
        <v>658</v>
      </c>
      <c r="L1" t="s">
        <v>658</v>
      </c>
      <c r="M1" s="13" t="s">
        <v>0</v>
      </c>
      <c r="N1" s="9" t="s">
        <v>0</v>
      </c>
      <c r="O1" s="9" t="s">
        <v>0</v>
      </c>
      <c r="P1" s="9" t="s">
        <v>0</v>
      </c>
      <c r="Q1" t="s">
        <v>658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0</v>
      </c>
      <c r="AB1" t="s">
        <v>0</v>
      </c>
      <c r="AC1" t="s">
        <v>0</v>
      </c>
      <c r="AD1" s="22" t="s">
        <v>648</v>
      </c>
      <c r="AE1" s="27"/>
      <c r="AF1" s="27" t="s">
        <v>1</v>
      </c>
      <c r="AG1" s="24"/>
      <c r="AH1" s="22" t="s">
        <v>0</v>
      </c>
      <c r="AI1" s="22" t="s">
        <v>0</v>
      </c>
      <c r="AJ1" s="23"/>
      <c r="AK1" s="23"/>
      <c r="AL1" s="23"/>
      <c r="AM1" s="23"/>
      <c r="AN1" s="23"/>
      <c r="AO1" s="17" t="s">
        <v>656</v>
      </c>
    </row>
    <row r="2" spans="1:274" x14ac:dyDescent="0.25">
      <c r="A2" t="s">
        <v>649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4" t="s">
        <v>13</v>
      </c>
      <c r="N2" s="5" t="s">
        <v>14</v>
      </c>
      <c r="O2" s="16" t="s">
        <v>15</v>
      </c>
      <c r="P2" s="16" t="s">
        <v>16</v>
      </c>
      <c r="Q2" s="16" t="s">
        <v>17</v>
      </c>
      <c r="R2" s="5" t="s">
        <v>18</v>
      </c>
      <c r="S2" s="5" t="s">
        <v>19</v>
      </c>
      <c r="T2" s="14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16" t="s">
        <v>28</v>
      </c>
      <c r="AC2" s="9" t="s">
        <v>30</v>
      </c>
      <c r="AD2" s="22" t="s">
        <v>647</v>
      </c>
      <c r="AE2" s="27" t="s">
        <v>311</v>
      </c>
      <c r="AF2" s="27" t="s">
        <v>312</v>
      </c>
      <c r="AG2" s="24" t="s">
        <v>655</v>
      </c>
      <c r="AH2" s="22" t="s">
        <v>29</v>
      </c>
      <c r="AI2" s="22" t="s">
        <v>31</v>
      </c>
      <c r="AJ2" s="21" t="s">
        <v>650</v>
      </c>
      <c r="AK2" s="21" t="s">
        <v>651</v>
      </c>
      <c r="AL2" s="21" t="s">
        <v>652</v>
      </c>
      <c r="AM2" s="21" t="s">
        <v>653</v>
      </c>
      <c r="AN2" s="21" t="s">
        <v>654</v>
      </c>
      <c r="AO2" t="s">
        <v>32</v>
      </c>
      <c r="AP2" t="s">
        <v>33</v>
      </c>
      <c r="AQ2" t="s">
        <v>34</v>
      </c>
      <c r="AR2" t="s">
        <v>35</v>
      </c>
      <c r="AS2" t="s">
        <v>36</v>
      </c>
      <c r="AT2" t="s">
        <v>37</v>
      </c>
      <c r="AU2" t="s">
        <v>38</v>
      </c>
      <c r="AV2" t="s">
        <v>39</v>
      </c>
      <c r="AW2" t="s">
        <v>40</v>
      </c>
      <c r="AX2" t="s">
        <v>41</v>
      </c>
      <c r="AY2" t="s">
        <v>42</v>
      </c>
      <c r="AZ2" t="s">
        <v>43</v>
      </c>
      <c r="BA2" t="s">
        <v>44</v>
      </c>
      <c r="BB2" t="s">
        <v>45</v>
      </c>
      <c r="BC2" t="s">
        <v>46</v>
      </c>
      <c r="BD2" t="s">
        <v>47</v>
      </c>
      <c r="BE2" t="s">
        <v>48</v>
      </c>
      <c r="BF2" t="s">
        <v>49</v>
      </c>
      <c r="BG2" t="s">
        <v>50</v>
      </c>
      <c r="BH2" t="s">
        <v>51</v>
      </c>
      <c r="BI2" t="s">
        <v>52</v>
      </c>
      <c r="BJ2" t="s">
        <v>53</v>
      </c>
      <c r="BK2" t="s">
        <v>54</v>
      </c>
      <c r="BL2" t="s">
        <v>55</v>
      </c>
      <c r="BM2" t="s">
        <v>56</v>
      </c>
      <c r="BN2" t="s">
        <v>57</v>
      </c>
      <c r="BO2" t="s">
        <v>58</v>
      </c>
      <c r="BP2" t="s">
        <v>59</v>
      </c>
      <c r="BQ2" t="s">
        <v>60</v>
      </c>
      <c r="BR2" t="s">
        <v>61</v>
      </c>
      <c r="BS2" t="s">
        <v>62</v>
      </c>
      <c r="BT2" t="s">
        <v>63</v>
      </c>
      <c r="BU2" t="s">
        <v>64</v>
      </c>
      <c r="BV2" t="s">
        <v>65</v>
      </c>
      <c r="BW2" t="s">
        <v>66</v>
      </c>
      <c r="BX2" t="s">
        <v>67</v>
      </c>
      <c r="BY2" t="s">
        <v>68</v>
      </c>
      <c r="BZ2" t="s">
        <v>69</v>
      </c>
      <c r="CA2" t="s">
        <v>70</v>
      </c>
      <c r="CB2" t="s">
        <v>71</v>
      </c>
      <c r="CC2" t="s">
        <v>72</v>
      </c>
      <c r="CD2" t="s">
        <v>73</v>
      </c>
      <c r="CE2" t="s">
        <v>74</v>
      </c>
      <c r="CF2" t="s">
        <v>75</v>
      </c>
      <c r="CG2" t="s">
        <v>76</v>
      </c>
      <c r="CH2" t="s">
        <v>77</v>
      </c>
      <c r="CI2" t="s">
        <v>78</v>
      </c>
      <c r="CJ2" t="s">
        <v>79</v>
      </c>
      <c r="CK2" t="s">
        <v>80</v>
      </c>
      <c r="CL2" t="s">
        <v>81</v>
      </c>
      <c r="CM2" t="s">
        <v>82</v>
      </c>
      <c r="CN2" t="s">
        <v>83</v>
      </c>
      <c r="CO2" t="s">
        <v>84</v>
      </c>
      <c r="CP2" t="s">
        <v>85</v>
      </c>
      <c r="CQ2" t="s">
        <v>86</v>
      </c>
      <c r="CR2" t="s">
        <v>87</v>
      </c>
      <c r="CS2" t="s">
        <v>88</v>
      </c>
      <c r="CT2" t="s">
        <v>89</v>
      </c>
      <c r="CU2" t="s">
        <v>90</v>
      </c>
      <c r="CV2" t="s">
        <v>91</v>
      </c>
      <c r="CW2" t="s">
        <v>92</v>
      </c>
      <c r="CX2" t="s">
        <v>93</v>
      </c>
      <c r="CY2" t="s">
        <v>94</v>
      </c>
      <c r="CZ2" t="s">
        <v>95</v>
      </c>
      <c r="DA2" t="s">
        <v>96</v>
      </c>
      <c r="DB2" t="s">
        <v>97</v>
      </c>
      <c r="DC2" t="s">
        <v>98</v>
      </c>
      <c r="DD2" t="s">
        <v>99</v>
      </c>
      <c r="DE2" t="s">
        <v>100</v>
      </c>
      <c r="DF2" t="s">
        <v>101</v>
      </c>
      <c r="DG2" t="s">
        <v>102</v>
      </c>
      <c r="DH2" t="s">
        <v>103</v>
      </c>
      <c r="DI2" t="s">
        <v>104</v>
      </c>
      <c r="DJ2" t="s">
        <v>105</v>
      </c>
      <c r="DK2" t="s">
        <v>106</v>
      </c>
      <c r="DL2" t="s">
        <v>107</v>
      </c>
      <c r="DM2" t="s">
        <v>108</v>
      </c>
      <c r="DN2" t="s">
        <v>109</v>
      </c>
      <c r="DO2" t="s">
        <v>110</v>
      </c>
      <c r="DP2" t="s">
        <v>111</v>
      </c>
      <c r="DQ2" t="s">
        <v>112</v>
      </c>
      <c r="DR2" t="s">
        <v>113</v>
      </c>
      <c r="DS2" t="s">
        <v>114</v>
      </c>
      <c r="DT2" t="s">
        <v>115</v>
      </c>
      <c r="DU2" t="s">
        <v>116</v>
      </c>
      <c r="DV2" t="s">
        <v>117</v>
      </c>
      <c r="DW2" t="s">
        <v>118</v>
      </c>
      <c r="DX2" t="s">
        <v>119</v>
      </c>
      <c r="DY2" t="s">
        <v>120</v>
      </c>
      <c r="DZ2" t="s">
        <v>121</v>
      </c>
      <c r="EA2" t="s">
        <v>122</v>
      </c>
      <c r="EB2" t="s">
        <v>123</v>
      </c>
      <c r="EC2" t="s">
        <v>124</v>
      </c>
      <c r="ED2" t="s">
        <v>125</v>
      </c>
      <c r="EE2" t="s">
        <v>126</v>
      </c>
      <c r="EF2" t="s">
        <v>127</v>
      </c>
      <c r="EG2" t="s">
        <v>128</v>
      </c>
      <c r="EH2" t="s">
        <v>129</v>
      </c>
      <c r="EI2" t="s">
        <v>130</v>
      </c>
      <c r="EJ2" t="s">
        <v>131</v>
      </c>
      <c r="EK2" t="s">
        <v>132</v>
      </c>
      <c r="EL2" t="s">
        <v>133</v>
      </c>
      <c r="EM2" t="s">
        <v>134</v>
      </c>
      <c r="EN2" t="s">
        <v>135</v>
      </c>
      <c r="EO2" t="s">
        <v>136</v>
      </c>
      <c r="EP2" t="s">
        <v>137</v>
      </c>
      <c r="EQ2" t="s">
        <v>138</v>
      </c>
      <c r="ER2" t="s">
        <v>139</v>
      </c>
      <c r="ES2" t="s">
        <v>140</v>
      </c>
      <c r="ET2" t="s">
        <v>141</v>
      </c>
      <c r="EU2" t="s">
        <v>142</v>
      </c>
      <c r="EV2" t="s">
        <v>143</v>
      </c>
      <c r="EW2" t="s">
        <v>144</v>
      </c>
      <c r="EX2" t="s">
        <v>145</v>
      </c>
      <c r="EY2" t="s">
        <v>146</v>
      </c>
      <c r="EZ2" t="s">
        <v>147</v>
      </c>
      <c r="FA2" t="s">
        <v>148</v>
      </c>
      <c r="FB2" t="s">
        <v>149</v>
      </c>
      <c r="FC2" t="s">
        <v>150</v>
      </c>
      <c r="FD2" t="s">
        <v>151</v>
      </c>
      <c r="FE2" t="s">
        <v>152</v>
      </c>
      <c r="FF2" t="s">
        <v>153</v>
      </c>
      <c r="FG2" t="s">
        <v>154</v>
      </c>
      <c r="FH2" t="s">
        <v>155</v>
      </c>
      <c r="FI2" t="s">
        <v>156</v>
      </c>
      <c r="FJ2" t="s">
        <v>157</v>
      </c>
      <c r="FK2" t="s">
        <v>158</v>
      </c>
      <c r="FL2" t="s">
        <v>159</v>
      </c>
      <c r="FM2" t="s">
        <v>160</v>
      </c>
      <c r="FN2" t="s">
        <v>161</v>
      </c>
      <c r="FO2" t="s">
        <v>162</v>
      </c>
      <c r="FP2" t="s">
        <v>163</v>
      </c>
      <c r="FQ2" t="s">
        <v>164</v>
      </c>
      <c r="FR2" t="s">
        <v>165</v>
      </c>
      <c r="FS2" t="s">
        <v>166</v>
      </c>
      <c r="FT2" t="s">
        <v>167</v>
      </c>
      <c r="FU2" t="s">
        <v>168</v>
      </c>
      <c r="FV2" t="s">
        <v>169</v>
      </c>
      <c r="FW2" t="s">
        <v>170</v>
      </c>
      <c r="FX2" t="s">
        <v>171</v>
      </c>
      <c r="FY2" t="s">
        <v>172</v>
      </c>
      <c r="FZ2" t="s">
        <v>173</v>
      </c>
      <c r="GA2" t="s">
        <v>174</v>
      </c>
      <c r="GB2" t="s">
        <v>175</v>
      </c>
      <c r="GC2" t="s">
        <v>176</v>
      </c>
      <c r="GD2" t="s">
        <v>177</v>
      </c>
      <c r="GE2" t="s">
        <v>178</v>
      </c>
      <c r="GF2" t="s">
        <v>179</v>
      </c>
      <c r="GG2" t="s">
        <v>180</v>
      </c>
      <c r="GH2" t="s">
        <v>181</v>
      </c>
      <c r="GI2" t="s">
        <v>182</v>
      </c>
      <c r="GJ2" t="s">
        <v>183</v>
      </c>
      <c r="GK2" t="s">
        <v>184</v>
      </c>
      <c r="GL2" t="s">
        <v>185</v>
      </c>
      <c r="GM2" t="s">
        <v>186</v>
      </c>
      <c r="GN2" t="s">
        <v>187</v>
      </c>
      <c r="GO2" t="s">
        <v>188</v>
      </c>
      <c r="GP2" t="s">
        <v>189</v>
      </c>
      <c r="GQ2" t="s">
        <v>190</v>
      </c>
      <c r="GR2" t="s">
        <v>191</v>
      </c>
      <c r="GS2" t="s">
        <v>192</v>
      </c>
      <c r="GT2" t="s">
        <v>193</v>
      </c>
      <c r="GU2" t="s">
        <v>194</v>
      </c>
      <c r="GV2" t="s">
        <v>195</v>
      </c>
      <c r="GW2" t="s">
        <v>196</v>
      </c>
      <c r="GX2" t="s">
        <v>197</v>
      </c>
      <c r="GY2" t="s">
        <v>198</v>
      </c>
      <c r="GZ2" t="s">
        <v>199</v>
      </c>
      <c r="HA2" t="s">
        <v>200</v>
      </c>
      <c r="HB2" t="s">
        <v>201</v>
      </c>
      <c r="HC2" t="s">
        <v>202</v>
      </c>
      <c r="HD2" t="s">
        <v>203</v>
      </c>
      <c r="HE2" t="s">
        <v>204</v>
      </c>
      <c r="HF2" t="s">
        <v>205</v>
      </c>
      <c r="HG2" t="s">
        <v>206</v>
      </c>
      <c r="HH2" t="s">
        <v>207</v>
      </c>
      <c r="HI2" s="7" t="s">
        <v>208</v>
      </c>
      <c r="HJ2" s="8" t="s">
        <v>209</v>
      </c>
      <c r="HK2" s="8" t="s">
        <v>210</v>
      </c>
      <c r="HL2" t="s">
        <v>211</v>
      </c>
      <c r="HM2" t="s">
        <v>212</v>
      </c>
      <c r="HN2" t="s">
        <v>213</v>
      </c>
      <c r="HO2" t="s">
        <v>214</v>
      </c>
      <c r="HP2" t="s">
        <v>215</v>
      </c>
      <c r="HQ2" t="s">
        <v>216</v>
      </c>
      <c r="HR2" t="s">
        <v>217</v>
      </c>
      <c r="HS2" t="s">
        <v>218</v>
      </c>
      <c r="HT2" t="s">
        <v>219</v>
      </c>
      <c r="HU2" t="s">
        <v>313</v>
      </c>
      <c r="HV2" t="s">
        <v>220</v>
      </c>
      <c r="HW2" t="s">
        <v>221</v>
      </c>
      <c r="HX2" t="s">
        <v>222</v>
      </c>
      <c r="HY2" t="s">
        <v>223</v>
      </c>
      <c r="HZ2" t="s">
        <v>224</v>
      </c>
      <c r="IA2" t="s">
        <v>225</v>
      </c>
      <c r="IB2" t="s">
        <v>226</v>
      </c>
      <c r="IC2" t="s">
        <v>227</v>
      </c>
      <c r="ID2" t="s">
        <v>228</v>
      </c>
      <c r="IE2" t="s">
        <v>229</v>
      </c>
      <c r="IF2" t="s">
        <v>230</v>
      </c>
      <c r="IG2" t="s">
        <v>231</v>
      </c>
      <c r="IH2" t="s">
        <v>232</v>
      </c>
      <c r="II2" t="s">
        <v>233</v>
      </c>
      <c r="IJ2" s="9" t="s">
        <v>234</v>
      </c>
      <c r="IK2" t="s">
        <v>235</v>
      </c>
      <c r="IL2" t="s">
        <v>236</v>
      </c>
      <c r="IM2" t="s">
        <v>237</v>
      </c>
      <c r="IN2" t="s">
        <v>238</v>
      </c>
      <c r="IO2" t="s">
        <v>239</v>
      </c>
      <c r="IP2" t="s">
        <v>240</v>
      </c>
      <c r="IQ2" t="s">
        <v>241</v>
      </c>
      <c r="IR2" t="s">
        <v>242</v>
      </c>
      <c r="IS2" t="s">
        <v>243</v>
      </c>
      <c r="IT2" t="s">
        <v>244</v>
      </c>
      <c r="IU2" t="s">
        <v>245</v>
      </c>
      <c r="IV2" t="s">
        <v>246</v>
      </c>
      <c r="IW2" t="s">
        <v>247</v>
      </c>
      <c r="IX2" t="s">
        <v>248</v>
      </c>
      <c r="IY2" t="s">
        <v>249</v>
      </c>
      <c r="IZ2" t="s">
        <v>250</v>
      </c>
      <c r="JA2" t="s">
        <v>251</v>
      </c>
      <c r="JB2" t="s">
        <v>252</v>
      </c>
      <c r="JC2" t="s">
        <v>253</v>
      </c>
      <c r="JD2" t="s">
        <v>254</v>
      </c>
      <c r="JE2" t="s">
        <v>255</v>
      </c>
      <c r="JF2" t="s">
        <v>256</v>
      </c>
      <c r="JG2" t="s">
        <v>257</v>
      </c>
      <c r="JH2" t="s">
        <v>258</v>
      </c>
      <c r="JI2" t="s">
        <v>259</v>
      </c>
      <c r="JJ2" t="s">
        <v>260</v>
      </c>
      <c r="JK2" t="s">
        <v>261</v>
      </c>
      <c r="JL2" t="s">
        <v>262</v>
      </c>
      <c r="JM2" t="s">
        <v>263</v>
      </c>
      <c r="JN2" t="s">
        <v>264</v>
      </c>
    </row>
    <row r="3" spans="1:274" x14ac:dyDescent="0.25">
      <c r="B3" s="6" t="s">
        <v>265</v>
      </c>
      <c r="C3" s="6" t="s">
        <v>266</v>
      </c>
      <c r="D3" s="6" t="s">
        <v>267</v>
      </c>
      <c r="E3" s="6" t="s">
        <v>644</v>
      </c>
      <c r="F3" s="6" t="s">
        <v>645</v>
      </c>
      <c r="G3" s="6" t="s">
        <v>315</v>
      </c>
      <c r="H3" s="6">
        <v>85258</v>
      </c>
      <c r="I3" s="6" t="s">
        <v>646</v>
      </c>
      <c r="J3" s="6" t="s">
        <v>268</v>
      </c>
      <c r="K3" s="6" t="s">
        <v>269</v>
      </c>
      <c r="L3" s="12">
        <v>44286</v>
      </c>
      <c r="M3" s="15" t="str">
        <f t="shared" ref="M3:M20" si="0">TEXT(L3,"MM/DD/YY")</f>
        <v>03/31/21</v>
      </c>
      <c r="N3" s="6">
        <v>92348</v>
      </c>
      <c r="O3" s="10">
        <f t="shared" ref="O3:O20" si="1">((1+AH3)*AE3)*AB3</f>
        <v>11801.715</v>
      </c>
      <c r="P3" s="11" t="str">
        <f t="shared" ref="P3:P20" si="2">TEXT(O3,"$#,##0.00")</f>
        <v>$11,801.72</v>
      </c>
      <c r="Q3" s="12">
        <v>44328</v>
      </c>
      <c r="R3" s="4" t="str">
        <f t="shared" ref="R3:R20" si="3">TEXT(Q3,"MM/DD/YY")</f>
        <v>05/12/21</v>
      </c>
      <c r="S3" t="str">
        <f t="shared" ref="S3:S20" si="4">+BV3</f>
        <v>PINAL</v>
      </c>
      <c r="T3" s="13" t="str">
        <f t="shared" ref="T3:T20" si="5">+CP3</f>
        <v>511-71-020G</v>
      </c>
      <c r="U3" t="str">
        <f t="shared" ref="U3:U20" si="6">+CL3</f>
        <v xml:space="preserve">401 N MYERS BLVD </v>
      </c>
      <c r="V3" t="s">
        <v>349</v>
      </c>
      <c r="W3" t="s">
        <v>315</v>
      </c>
      <c r="X3" t="str">
        <f t="shared" ref="X3:X20" si="7">+CJ3</f>
        <v>85131-1926</v>
      </c>
      <c r="Y3" t="str">
        <f t="shared" ref="Y3:Y20" si="8">+AQ3</f>
        <v>FELIPE</v>
      </c>
      <c r="Z3" t="str">
        <f t="shared" ref="Z3:Z20" si="9">+AR3</f>
        <v>CANEZ</v>
      </c>
      <c r="AA3" t="str">
        <f t="shared" ref="AA3:AA20" si="10">+CO3</f>
        <v>W 163.51 OF E 901.28 OF N2 N2 N2 SE OF SEC 19 7S 6E  AKA: PARCEL D 2 OF BK 20 PG 70 OF SURVEYS  1.25 AC</v>
      </c>
      <c r="AB3">
        <f t="shared" ref="AB3:AB20" si="11">+FV3</f>
        <v>1.25</v>
      </c>
      <c r="AC3" t="str">
        <f t="shared" ref="AC3:AC20" si="12">+BV3</f>
        <v>PINAL</v>
      </c>
      <c r="AD3" s="6" t="str">
        <f t="shared" ref="AD3:AD20" si="13">"85118"</f>
        <v>85118</v>
      </c>
      <c r="AE3">
        <f t="shared" ref="AE3:AE20" si="14">+AF3*AG3</f>
        <v>9394.4</v>
      </c>
      <c r="AF3" s="28">
        <v>93944</v>
      </c>
      <c r="AG3" s="29">
        <v>0.1</v>
      </c>
      <c r="AH3" s="6">
        <v>5.0000000000000001E-3</v>
      </c>
      <c r="AI3">
        <f t="shared" ref="AI3:AI20" si="15">+FV3</f>
        <v>1.25</v>
      </c>
      <c r="AO3" t="s">
        <v>549</v>
      </c>
      <c r="AP3" t="s">
        <v>550</v>
      </c>
      <c r="AQ3" t="s">
        <v>550</v>
      </c>
      <c r="AR3" t="s">
        <v>551</v>
      </c>
      <c r="AS3" t="s">
        <v>270</v>
      </c>
      <c r="AT3">
        <v>3</v>
      </c>
      <c r="AU3" t="s">
        <v>552</v>
      </c>
      <c r="AV3" t="s">
        <v>553</v>
      </c>
      <c r="AW3" t="s">
        <v>553</v>
      </c>
      <c r="AX3" t="s">
        <v>551</v>
      </c>
      <c r="AY3" t="s">
        <v>270</v>
      </c>
      <c r="AZ3">
        <v>1</v>
      </c>
      <c r="BC3" t="s">
        <v>554</v>
      </c>
      <c r="BD3" t="s">
        <v>555</v>
      </c>
      <c r="BE3" t="s">
        <v>359</v>
      </c>
      <c r="BH3" t="s">
        <v>288</v>
      </c>
      <c r="BS3" t="s">
        <v>315</v>
      </c>
      <c r="BV3" t="s">
        <v>316</v>
      </c>
      <c r="BY3" t="s">
        <v>380</v>
      </c>
      <c r="BZ3" t="s">
        <v>276</v>
      </c>
      <c r="CA3">
        <v>401</v>
      </c>
      <c r="CD3" t="s">
        <v>556</v>
      </c>
      <c r="CE3" t="s">
        <v>378</v>
      </c>
      <c r="CG3" t="s">
        <v>349</v>
      </c>
      <c r="CH3" t="s">
        <v>349</v>
      </c>
      <c r="CI3" t="s">
        <v>315</v>
      </c>
      <c r="CJ3" t="str">
        <f>"85131-1926"</f>
        <v>85131-1926</v>
      </c>
      <c r="CK3" t="s">
        <v>299</v>
      </c>
      <c r="CL3" t="s">
        <v>557</v>
      </c>
      <c r="CM3" t="s">
        <v>558</v>
      </c>
      <c r="CN3" t="s">
        <v>274</v>
      </c>
      <c r="CO3" t="s">
        <v>559</v>
      </c>
      <c r="CP3" t="str">
        <f>"511-71-020G"</f>
        <v>511-71-020G</v>
      </c>
      <c r="CQ3" t="str">
        <f>"51171020G"</f>
        <v>51171020G</v>
      </c>
      <c r="CR3" t="str">
        <f>""</f>
        <v/>
      </c>
      <c r="CS3">
        <v>4021</v>
      </c>
      <c r="CX3" t="s">
        <v>355</v>
      </c>
      <c r="CY3" t="s">
        <v>351</v>
      </c>
      <c r="CZ3">
        <v>19</v>
      </c>
      <c r="DB3">
        <v>32.798813634880197</v>
      </c>
      <c r="DC3">
        <v>-111.759817016317</v>
      </c>
      <c r="DD3" t="s">
        <v>340</v>
      </c>
      <c r="DK3" t="s">
        <v>488</v>
      </c>
      <c r="DM3">
        <v>20</v>
      </c>
      <c r="DN3">
        <v>70</v>
      </c>
      <c r="DO3" t="str">
        <f>""</f>
        <v/>
      </c>
      <c r="DQ3">
        <v>0</v>
      </c>
      <c r="DR3">
        <v>0</v>
      </c>
      <c r="DS3">
        <v>0</v>
      </c>
      <c r="DT3">
        <v>0</v>
      </c>
      <c r="DW3">
        <v>0</v>
      </c>
      <c r="DX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L3">
        <v>0</v>
      </c>
      <c r="EN3">
        <v>0</v>
      </c>
      <c r="EP3">
        <v>0</v>
      </c>
      <c r="ER3">
        <v>0</v>
      </c>
      <c r="ET3">
        <v>0</v>
      </c>
      <c r="EY3">
        <v>0</v>
      </c>
      <c r="FA3">
        <v>0</v>
      </c>
      <c r="FL3">
        <v>0</v>
      </c>
      <c r="FO3" s="3">
        <v>1</v>
      </c>
      <c r="FQ3" t="s">
        <v>317</v>
      </c>
      <c r="FR3" t="s">
        <v>318</v>
      </c>
      <c r="FS3" t="s">
        <v>319</v>
      </c>
      <c r="FU3">
        <v>54450</v>
      </c>
      <c r="FV3">
        <v>1.25</v>
      </c>
      <c r="FW3">
        <v>0</v>
      </c>
      <c r="FX3">
        <v>0</v>
      </c>
      <c r="FY3">
        <v>0</v>
      </c>
      <c r="FZ3">
        <v>0</v>
      </c>
      <c r="GI3" t="s">
        <v>275</v>
      </c>
      <c r="GJ3" t="s">
        <v>437</v>
      </c>
      <c r="GK3" t="s">
        <v>438</v>
      </c>
      <c r="GL3" s="1">
        <v>39420</v>
      </c>
      <c r="GM3" t="s">
        <v>326</v>
      </c>
      <c r="GN3" t="str">
        <f t="shared" ref="GN3:GN14" si="16">"FALSE"</f>
        <v>FALSE</v>
      </c>
      <c r="GO3">
        <v>2021</v>
      </c>
      <c r="GP3">
        <v>2020</v>
      </c>
      <c r="GQ3">
        <v>2201</v>
      </c>
      <c r="GR3" t="s">
        <v>276</v>
      </c>
      <c r="GS3" t="s">
        <v>276</v>
      </c>
      <c r="GT3" t="s">
        <v>276</v>
      </c>
      <c r="GU3" t="s">
        <v>276</v>
      </c>
      <c r="GV3" t="s">
        <v>276</v>
      </c>
      <c r="GW3" t="s">
        <v>276</v>
      </c>
      <c r="GX3" t="s">
        <v>276</v>
      </c>
      <c r="GY3" t="s">
        <v>276</v>
      </c>
      <c r="GZ3" t="s">
        <v>276</v>
      </c>
      <c r="HA3" t="s">
        <v>276</v>
      </c>
      <c r="HB3" t="s">
        <v>276</v>
      </c>
      <c r="HC3" t="s">
        <v>276</v>
      </c>
      <c r="HD3" t="s">
        <v>276</v>
      </c>
      <c r="HE3" s="2">
        <v>0</v>
      </c>
      <c r="HF3" s="2">
        <v>0</v>
      </c>
      <c r="HG3" s="2">
        <v>0</v>
      </c>
      <c r="HH3">
        <v>0</v>
      </c>
      <c r="HI3" s="7">
        <v>16316</v>
      </c>
      <c r="HJ3" s="8">
        <v>16316</v>
      </c>
      <c r="HK3" s="8">
        <v>0</v>
      </c>
      <c r="HL3">
        <v>0</v>
      </c>
      <c r="HM3" s="2">
        <v>0</v>
      </c>
      <c r="HN3" s="2">
        <v>0</v>
      </c>
      <c r="HO3" s="2">
        <v>0</v>
      </c>
      <c r="HP3">
        <v>0</v>
      </c>
      <c r="HQ3" s="2">
        <v>96.42</v>
      </c>
      <c r="HS3" s="2">
        <v>16316</v>
      </c>
      <c r="HV3" t="s">
        <v>375</v>
      </c>
      <c r="HY3" t="s">
        <v>376</v>
      </c>
      <c r="HZ3" t="s">
        <v>376</v>
      </c>
      <c r="IA3" t="s">
        <v>344</v>
      </c>
      <c r="IB3" s="1">
        <v>40372</v>
      </c>
      <c r="IC3" s="1">
        <v>40373</v>
      </c>
      <c r="ID3" s="2">
        <v>15000</v>
      </c>
      <c r="IE3" t="s">
        <v>280</v>
      </c>
      <c r="IF3" t="str">
        <f>"                    "</f>
        <v xml:space="preserve">                    </v>
      </c>
      <c r="IG3" t="str">
        <f>"2010.66048"</f>
        <v>2010.66048</v>
      </c>
      <c r="IS3" t="str">
        <f>""</f>
        <v/>
      </c>
      <c r="IX3" t="str">
        <f>""</f>
        <v/>
      </c>
      <c r="JA3" t="s">
        <v>277</v>
      </c>
      <c r="JC3" t="str">
        <f>""</f>
        <v/>
      </c>
      <c r="JM3" t="str">
        <f>""</f>
        <v/>
      </c>
      <c r="JN3" t="str">
        <f>HYPERLINK("https://web.datatree.com/?/property?propertyId=5868974")</f>
        <v>https://web.datatree.com/?/property?propertyId=5868974</v>
      </c>
    </row>
    <row r="4" spans="1:274" x14ac:dyDescent="0.25">
      <c r="B4" s="6" t="s">
        <v>265</v>
      </c>
      <c r="C4" s="6" t="s">
        <v>266</v>
      </c>
      <c r="D4" s="6" t="s">
        <v>267</v>
      </c>
      <c r="E4" s="6" t="s">
        <v>644</v>
      </c>
      <c r="F4" s="6" t="s">
        <v>645</v>
      </c>
      <c r="G4" s="6" t="s">
        <v>315</v>
      </c>
      <c r="H4" s="6">
        <v>85258</v>
      </c>
      <c r="I4" s="6" t="s">
        <v>646</v>
      </c>
      <c r="J4" s="6" t="s">
        <v>268</v>
      </c>
      <c r="K4" s="6" t="s">
        <v>269</v>
      </c>
      <c r="L4" s="12">
        <v>44286</v>
      </c>
      <c r="M4" s="15" t="str">
        <f t="shared" si="0"/>
        <v>03/31/21</v>
      </c>
      <c r="N4" s="6" t="e">
        <v>#REF!</v>
      </c>
      <c r="O4" s="10">
        <f t="shared" si="1"/>
        <v>11801.715</v>
      </c>
      <c r="P4" s="11" t="str">
        <f t="shared" si="2"/>
        <v>$11,801.72</v>
      </c>
      <c r="Q4" s="12">
        <v>44328</v>
      </c>
      <c r="R4" s="4" t="str">
        <f t="shared" si="3"/>
        <v>05/12/21</v>
      </c>
      <c r="S4" t="str">
        <f t="shared" si="4"/>
        <v>PINAL</v>
      </c>
      <c r="T4" s="13" t="str">
        <f t="shared" si="5"/>
        <v>501-69-008J</v>
      </c>
      <c r="U4" t="str">
        <f t="shared" si="6"/>
        <v xml:space="preserve">3061 E AUSTIN DR </v>
      </c>
      <c r="V4" t="s">
        <v>307</v>
      </c>
      <c r="W4" t="s">
        <v>315</v>
      </c>
      <c r="X4" t="str">
        <f t="shared" si="7"/>
        <v>85296</v>
      </c>
      <c r="Y4" t="str">
        <f t="shared" si="8"/>
        <v>LESLIE</v>
      </c>
      <c r="Z4" t="str">
        <f t="shared" si="9"/>
        <v>ZAREMBA</v>
      </c>
      <c r="AA4" t="str">
        <f t="shared" si="10"/>
        <v>S2 SE SE SE SE OF SEC 4-6S-2E 1.25 AC AKA: PCL 5 BK-15 PG-257 OF SURVEYS HIDDEN VALLEY FORTY ACRES</v>
      </c>
      <c r="AB4">
        <f t="shared" si="11"/>
        <v>1.25</v>
      </c>
      <c r="AC4" t="str">
        <f t="shared" si="12"/>
        <v>PINAL</v>
      </c>
      <c r="AD4" s="6" t="str">
        <f t="shared" si="13"/>
        <v>85118</v>
      </c>
      <c r="AE4">
        <f t="shared" si="14"/>
        <v>9394.4</v>
      </c>
      <c r="AF4" s="28">
        <v>93944</v>
      </c>
      <c r="AG4" s="29">
        <v>0.1</v>
      </c>
      <c r="AH4" s="6">
        <v>5.0000000000000001E-3</v>
      </c>
      <c r="AI4">
        <f t="shared" si="15"/>
        <v>1.25</v>
      </c>
      <c r="AO4" t="s">
        <v>492</v>
      </c>
      <c r="AP4" t="s">
        <v>493</v>
      </c>
      <c r="AQ4" t="s">
        <v>494</v>
      </c>
      <c r="AR4" t="s">
        <v>495</v>
      </c>
      <c r="AS4" t="s">
        <v>270</v>
      </c>
      <c r="AT4">
        <v>2</v>
      </c>
      <c r="BC4" t="s">
        <v>496</v>
      </c>
      <c r="BD4" t="s">
        <v>492</v>
      </c>
      <c r="BH4" t="s">
        <v>271</v>
      </c>
      <c r="BN4" t="s">
        <v>417</v>
      </c>
      <c r="BO4" t="s">
        <v>283</v>
      </c>
      <c r="BS4" t="s">
        <v>315</v>
      </c>
      <c r="BV4" t="s">
        <v>316</v>
      </c>
      <c r="BX4" t="s">
        <v>497</v>
      </c>
      <c r="BY4" t="s">
        <v>498</v>
      </c>
      <c r="BZ4" t="s">
        <v>293</v>
      </c>
      <c r="CA4">
        <v>3061</v>
      </c>
      <c r="CD4" t="s">
        <v>303</v>
      </c>
      <c r="CE4" t="s">
        <v>273</v>
      </c>
      <c r="CG4" t="s">
        <v>307</v>
      </c>
      <c r="CH4" t="s">
        <v>307</v>
      </c>
      <c r="CI4" t="s">
        <v>315</v>
      </c>
      <c r="CJ4" t="str">
        <f>"85296"</f>
        <v>85296</v>
      </c>
      <c r="CK4" t="s">
        <v>499</v>
      </c>
      <c r="CL4" t="s">
        <v>500</v>
      </c>
      <c r="CM4" t="s">
        <v>501</v>
      </c>
      <c r="CN4" t="s">
        <v>274</v>
      </c>
      <c r="CO4" t="s">
        <v>502</v>
      </c>
      <c r="CP4" t="str">
        <f>"501-69-008J"</f>
        <v>501-69-008J</v>
      </c>
      <c r="CQ4" t="str">
        <f>"50169008J"</f>
        <v>50169008J</v>
      </c>
      <c r="CR4" t="str">
        <f>""</f>
        <v/>
      </c>
      <c r="CS4">
        <v>4021</v>
      </c>
      <c r="CX4" t="s">
        <v>339</v>
      </c>
      <c r="CY4" t="s">
        <v>325</v>
      </c>
      <c r="CZ4">
        <v>4</v>
      </c>
      <c r="DB4">
        <v>32.927789131816702</v>
      </c>
      <c r="DC4">
        <v>-112.15238906369299</v>
      </c>
      <c r="DD4" t="s">
        <v>435</v>
      </c>
      <c r="DK4" t="s">
        <v>467</v>
      </c>
      <c r="DM4">
        <v>15</v>
      </c>
      <c r="DN4">
        <v>257</v>
      </c>
      <c r="DO4" t="str">
        <f>""</f>
        <v/>
      </c>
      <c r="DQ4">
        <v>0</v>
      </c>
      <c r="DR4">
        <v>0</v>
      </c>
      <c r="DS4">
        <v>0</v>
      </c>
      <c r="DT4">
        <v>0</v>
      </c>
      <c r="DW4">
        <v>0</v>
      </c>
      <c r="DX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L4">
        <v>0</v>
      </c>
      <c r="EN4">
        <v>0</v>
      </c>
      <c r="EP4">
        <v>0</v>
      </c>
      <c r="ER4">
        <v>0</v>
      </c>
      <c r="ET4">
        <v>0</v>
      </c>
      <c r="EY4">
        <v>0</v>
      </c>
      <c r="FA4">
        <v>0</v>
      </c>
      <c r="FL4">
        <v>0</v>
      </c>
      <c r="FO4" s="3">
        <v>1</v>
      </c>
      <c r="FQ4" t="s">
        <v>341</v>
      </c>
      <c r="FR4" t="s">
        <v>369</v>
      </c>
      <c r="FS4" t="s">
        <v>361</v>
      </c>
      <c r="FU4">
        <v>54450</v>
      </c>
      <c r="FV4">
        <v>1.25</v>
      </c>
      <c r="FW4">
        <v>0</v>
      </c>
      <c r="FX4">
        <v>0</v>
      </c>
      <c r="FY4">
        <v>0</v>
      </c>
      <c r="FZ4">
        <v>0</v>
      </c>
      <c r="GI4" t="s">
        <v>275</v>
      </c>
      <c r="GJ4" t="s">
        <v>418</v>
      </c>
      <c r="GK4" t="s">
        <v>419</v>
      </c>
      <c r="GL4" s="1">
        <v>39420</v>
      </c>
      <c r="GM4" t="s">
        <v>326</v>
      </c>
      <c r="GN4" t="str">
        <f t="shared" si="16"/>
        <v>FALSE</v>
      </c>
      <c r="GO4">
        <v>2021</v>
      </c>
      <c r="GP4">
        <v>2020</v>
      </c>
      <c r="GQ4">
        <v>2424</v>
      </c>
      <c r="GR4" t="s">
        <v>276</v>
      </c>
      <c r="GS4" t="s">
        <v>276</v>
      </c>
      <c r="GT4" t="s">
        <v>276</v>
      </c>
      <c r="GU4" t="s">
        <v>276</v>
      </c>
      <c r="GV4" t="s">
        <v>276</v>
      </c>
      <c r="GW4" t="s">
        <v>276</v>
      </c>
      <c r="GX4" t="s">
        <v>276</v>
      </c>
      <c r="GY4" t="s">
        <v>276</v>
      </c>
      <c r="GZ4" t="s">
        <v>276</v>
      </c>
      <c r="HA4" t="s">
        <v>276</v>
      </c>
      <c r="HB4" t="s">
        <v>276</v>
      </c>
      <c r="HC4" t="s">
        <v>276</v>
      </c>
      <c r="HD4" t="s">
        <v>276</v>
      </c>
      <c r="HE4" s="2">
        <v>0</v>
      </c>
      <c r="HF4" s="2">
        <v>0</v>
      </c>
      <c r="HG4" s="2">
        <v>0</v>
      </c>
      <c r="HH4">
        <v>0</v>
      </c>
      <c r="HI4" s="7">
        <v>16939</v>
      </c>
      <c r="HJ4" s="8">
        <v>16939</v>
      </c>
      <c r="HK4" s="8">
        <v>0</v>
      </c>
      <c r="HL4">
        <v>0</v>
      </c>
      <c r="HM4" s="2">
        <v>0</v>
      </c>
      <c r="HN4" s="2">
        <v>0</v>
      </c>
      <c r="HO4" s="2">
        <v>0</v>
      </c>
      <c r="HP4">
        <v>0</v>
      </c>
      <c r="HQ4" s="2">
        <v>126.28</v>
      </c>
      <c r="HS4" s="2">
        <v>16939</v>
      </c>
      <c r="HV4" t="s">
        <v>342</v>
      </c>
      <c r="HY4" t="s">
        <v>343</v>
      </c>
      <c r="HZ4" t="s">
        <v>343</v>
      </c>
      <c r="IA4" t="s">
        <v>344</v>
      </c>
      <c r="IF4" t="str">
        <f>""</f>
        <v/>
      </c>
      <c r="IG4" t="str">
        <f>""</f>
        <v/>
      </c>
      <c r="II4" s="1">
        <v>38663</v>
      </c>
      <c r="IJ4" s="30">
        <v>85000</v>
      </c>
      <c r="IK4" t="s">
        <v>306</v>
      </c>
      <c r="IL4" t="s">
        <v>308</v>
      </c>
      <c r="IM4" t="s">
        <v>468</v>
      </c>
      <c r="IS4" t="str">
        <f>"                    "</f>
        <v xml:space="preserve">                    </v>
      </c>
      <c r="IX4" t="str">
        <f>"                    "</f>
        <v xml:space="preserve">                    </v>
      </c>
      <c r="JA4" t="s">
        <v>277</v>
      </c>
      <c r="JC4" t="str">
        <f>"2005.153887"</f>
        <v>2005.153887</v>
      </c>
      <c r="JM4" t="str">
        <f>""</f>
        <v/>
      </c>
      <c r="JN4" t="str">
        <f>HYPERLINK("https://web.datatree.com/?/property?propertyId=6681474")</f>
        <v>https://web.datatree.com/?/property?propertyId=6681474</v>
      </c>
    </row>
    <row r="5" spans="1:274" x14ac:dyDescent="0.25">
      <c r="B5" s="6" t="s">
        <v>265</v>
      </c>
      <c r="C5" s="6" t="s">
        <v>266</v>
      </c>
      <c r="D5" s="6" t="s">
        <v>267</v>
      </c>
      <c r="E5" s="6" t="s">
        <v>644</v>
      </c>
      <c r="F5" s="6" t="s">
        <v>645</v>
      </c>
      <c r="G5" s="6" t="s">
        <v>315</v>
      </c>
      <c r="H5" s="6">
        <v>85258</v>
      </c>
      <c r="I5" s="6" t="s">
        <v>646</v>
      </c>
      <c r="J5" s="6" t="s">
        <v>268</v>
      </c>
      <c r="K5" s="6" t="s">
        <v>269</v>
      </c>
      <c r="L5" s="12">
        <v>44286</v>
      </c>
      <c r="M5" s="15" t="str">
        <f t="shared" si="0"/>
        <v>03/31/21</v>
      </c>
      <c r="N5" s="6" t="e">
        <v>#REF!</v>
      </c>
      <c r="O5" s="10">
        <f t="shared" si="1"/>
        <v>11801.715</v>
      </c>
      <c r="P5" s="11" t="str">
        <f t="shared" si="2"/>
        <v>$11,801.72</v>
      </c>
      <c r="Q5" s="12">
        <v>44328</v>
      </c>
      <c r="R5" s="4" t="str">
        <f t="shared" si="3"/>
        <v>05/12/21</v>
      </c>
      <c r="S5" t="str">
        <f t="shared" si="4"/>
        <v>PINAL</v>
      </c>
      <c r="T5" s="13" t="str">
        <f t="shared" si="5"/>
        <v>509-60-006J</v>
      </c>
      <c r="U5" t="str">
        <f t="shared" si="6"/>
        <v xml:space="preserve">PO BOX 828 </v>
      </c>
      <c r="V5" t="s">
        <v>639</v>
      </c>
      <c r="W5" t="s">
        <v>301</v>
      </c>
      <c r="X5" t="str">
        <f t="shared" si="7"/>
        <v>98841</v>
      </c>
      <c r="Y5" t="str">
        <f t="shared" si="8"/>
        <v>DEAN</v>
      </c>
      <c r="Z5" t="str">
        <f t="shared" si="9"/>
        <v>HARRISON</v>
      </c>
      <c r="AA5" t="str">
        <f t="shared" si="10"/>
        <v>PARCEL B 1 IN BK 20 OF SURVEYS PG 107 IN SEC 31 5S 7E  1.25 AC</v>
      </c>
      <c r="AB5">
        <f t="shared" si="11"/>
        <v>1.25</v>
      </c>
      <c r="AC5" t="str">
        <f t="shared" si="12"/>
        <v>PINAL</v>
      </c>
      <c r="AD5" s="6" t="str">
        <f t="shared" si="13"/>
        <v>85118</v>
      </c>
      <c r="AE5">
        <f t="shared" si="14"/>
        <v>9394.4</v>
      </c>
      <c r="AF5" s="28">
        <v>93944</v>
      </c>
      <c r="AG5" s="29">
        <v>0.1</v>
      </c>
      <c r="AH5" s="6">
        <v>5.0000000000000001E-3</v>
      </c>
      <c r="AI5">
        <f t="shared" si="15"/>
        <v>1.25</v>
      </c>
      <c r="AO5" t="s">
        <v>632</v>
      </c>
      <c r="AP5" t="s">
        <v>633</v>
      </c>
      <c r="AQ5" t="s">
        <v>310</v>
      </c>
      <c r="AR5" t="s">
        <v>470</v>
      </c>
      <c r="AS5" t="s">
        <v>270</v>
      </c>
      <c r="AT5">
        <v>4</v>
      </c>
      <c r="AU5" t="s">
        <v>634</v>
      </c>
      <c r="AV5" t="s">
        <v>635</v>
      </c>
      <c r="AW5" t="s">
        <v>403</v>
      </c>
      <c r="AX5" t="s">
        <v>470</v>
      </c>
      <c r="AY5" t="s">
        <v>270</v>
      </c>
      <c r="AZ5">
        <v>2</v>
      </c>
      <c r="BC5" t="s">
        <v>636</v>
      </c>
      <c r="BD5" t="s">
        <v>637</v>
      </c>
      <c r="BH5" t="s">
        <v>271</v>
      </c>
      <c r="BS5" t="s">
        <v>315</v>
      </c>
      <c r="BV5" t="s">
        <v>316</v>
      </c>
      <c r="BY5" t="s">
        <v>380</v>
      </c>
      <c r="CD5" t="s">
        <v>638</v>
      </c>
      <c r="CG5" t="s">
        <v>639</v>
      </c>
      <c r="CH5" t="s">
        <v>639</v>
      </c>
      <c r="CI5" t="s">
        <v>301</v>
      </c>
      <c r="CJ5" t="str">
        <f>"98841"</f>
        <v>98841</v>
      </c>
      <c r="CK5" t="s">
        <v>298</v>
      </c>
      <c r="CL5" t="s">
        <v>640</v>
      </c>
      <c r="CM5" t="s">
        <v>641</v>
      </c>
      <c r="CN5" t="s">
        <v>274</v>
      </c>
      <c r="CO5" t="s">
        <v>642</v>
      </c>
      <c r="CP5" t="str">
        <f>"509-60-006J"</f>
        <v>509-60-006J</v>
      </c>
      <c r="CQ5" t="str">
        <f>"50960006J"</f>
        <v>50960006J</v>
      </c>
      <c r="CR5" t="str">
        <f>""</f>
        <v/>
      </c>
      <c r="CS5">
        <v>4021</v>
      </c>
      <c r="CX5" t="s">
        <v>347</v>
      </c>
      <c r="CY5" t="s">
        <v>330</v>
      </c>
      <c r="CZ5">
        <v>31</v>
      </c>
      <c r="DB5">
        <v>32.943980311660297</v>
      </c>
      <c r="DC5">
        <v>-111.685178221958</v>
      </c>
      <c r="DD5" t="s">
        <v>340</v>
      </c>
      <c r="DK5" t="s">
        <v>472</v>
      </c>
      <c r="DM5">
        <v>20</v>
      </c>
      <c r="DN5">
        <v>107</v>
      </c>
      <c r="DO5" t="str">
        <f>""</f>
        <v/>
      </c>
      <c r="DQ5">
        <v>0</v>
      </c>
      <c r="DR5">
        <v>0</v>
      </c>
      <c r="DS5">
        <v>0</v>
      </c>
      <c r="DT5">
        <v>0</v>
      </c>
      <c r="DW5">
        <v>0</v>
      </c>
      <c r="DX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L5">
        <v>0</v>
      </c>
      <c r="EN5">
        <v>0</v>
      </c>
      <c r="EP5">
        <v>0</v>
      </c>
      <c r="ER5">
        <v>0</v>
      </c>
      <c r="ET5">
        <v>0</v>
      </c>
      <c r="EY5">
        <v>0</v>
      </c>
      <c r="FA5">
        <v>0</v>
      </c>
      <c r="FL5">
        <v>0</v>
      </c>
      <c r="FO5" s="3">
        <v>1</v>
      </c>
      <c r="FQ5" t="s">
        <v>341</v>
      </c>
      <c r="FR5" t="s">
        <v>318</v>
      </c>
      <c r="FS5" t="s">
        <v>353</v>
      </c>
      <c r="FU5">
        <v>54450</v>
      </c>
      <c r="FV5">
        <v>1.25</v>
      </c>
      <c r="FW5">
        <v>0</v>
      </c>
      <c r="FX5">
        <v>0</v>
      </c>
      <c r="FY5">
        <v>0</v>
      </c>
      <c r="FZ5">
        <v>0</v>
      </c>
      <c r="GI5" t="s">
        <v>275</v>
      </c>
      <c r="GJ5" t="s">
        <v>357</v>
      </c>
      <c r="GK5" t="s">
        <v>358</v>
      </c>
      <c r="GL5" s="1">
        <v>39420</v>
      </c>
      <c r="GM5" t="s">
        <v>320</v>
      </c>
      <c r="GN5" t="str">
        <f t="shared" si="16"/>
        <v>FALSE</v>
      </c>
      <c r="GO5">
        <v>2021</v>
      </c>
      <c r="GP5">
        <v>2020</v>
      </c>
      <c r="GQ5">
        <v>400</v>
      </c>
      <c r="GR5" t="s">
        <v>276</v>
      </c>
      <c r="GS5" t="s">
        <v>276</v>
      </c>
      <c r="GT5" t="s">
        <v>276</v>
      </c>
      <c r="GU5" t="s">
        <v>276</v>
      </c>
      <c r="GV5" t="s">
        <v>276</v>
      </c>
      <c r="GW5" t="s">
        <v>276</v>
      </c>
      <c r="GX5" t="s">
        <v>276</v>
      </c>
      <c r="GY5" t="s">
        <v>276</v>
      </c>
      <c r="GZ5" t="s">
        <v>276</v>
      </c>
      <c r="HA5" t="s">
        <v>276</v>
      </c>
      <c r="HB5" t="s">
        <v>276</v>
      </c>
      <c r="HC5" t="s">
        <v>276</v>
      </c>
      <c r="HD5" t="s">
        <v>276</v>
      </c>
      <c r="HE5" s="2">
        <v>0</v>
      </c>
      <c r="HF5" s="2">
        <v>0</v>
      </c>
      <c r="HG5" s="2">
        <v>0</v>
      </c>
      <c r="HH5">
        <v>0</v>
      </c>
      <c r="HI5" s="7">
        <v>30223</v>
      </c>
      <c r="HJ5" s="8">
        <v>30223</v>
      </c>
      <c r="HK5" s="8">
        <v>0</v>
      </c>
      <c r="HL5">
        <v>0</v>
      </c>
      <c r="HM5" s="2">
        <v>0</v>
      </c>
      <c r="HN5" s="2">
        <v>0</v>
      </c>
      <c r="HO5" s="2">
        <v>0</v>
      </c>
      <c r="HP5">
        <v>0</v>
      </c>
      <c r="HQ5" s="2">
        <v>324.44</v>
      </c>
      <c r="HS5" s="2">
        <v>30223</v>
      </c>
      <c r="HV5" t="s">
        <v>362</v>
      </c>
      <c r="HY5" t="s">
        <v>363</v>
      </c>
      <c r="HZ5" t="s">
        <v>364</v>
      </c>
      <c r="IA5" t="s">
        <v>365</v>
      </c>
      <c r="IF5" t="str">
        <f>""</f>
        <v/>
      </c>
      <c r="IG5" t="str">
        <f>""</f>
        <v/>
      </c>
      <c r="IH5" s="1">
        <v>44040</v>
      </c>
      <c r="II5" s="1">
        <v>44063</v>
      </c>
      <c r="IJ5" s="30">
        <v>50000</v>
      </c>
      <c r="IK5" t="s">
        <v>306</v>
      </c>
      <c r="IL5" t="s">
        <v>302</v>
      </c>
      <c r="IM5" t="s">
        <v>643</v>
      </c>
      <c r="IS5" t="str">
        <f>""</f>
        <v/>
      </c>
      <c r="IX5" t="str">
        <f>""</f>
        <v/>
      </c>
      <c r="IZ5" t="s">
        <v>402</v>
      </c>
      <c r="JA5" t="s">
        <v>277</v>
      </c>
      <c r="JC5" t="str">
        <f>"2020.82655"</f>
        <v>2020.82655</v>
      </c>
      <c r="JM5" t="str">
        <f>""</f>
        <v/>
      </c>
      <c r="JN5" t="str">
        <f>HYPERLINK("https://web.datatree.com/?/property?propertyId=5968864")</f>
        <v>https://web.datatree.com/?/property?propertyId=5968864</v>
      </c>
    </row>
    <row r="6" spans="1:274" x14ac:dyDescent="0.25">
      <c r="B6" s="6" t="s">
        <v>265</v>
      </c>
      <c r="C6" s="6" t="s">
        <v>266</v>
      </c>
      <c r="D6" s="6" t="s">
        <v>267</v>
      </c>
      <c r="E6" s="6" t="s">
        <v>644</v>
      </c>
      <c r="F6" s="6" t="s">
        <v>645</v>
      </c>
      <c r="G6" s="6" t="s">
        <v>315</v>
      </c>
      <c r="H6" s="6">
        <v>85258</v>
      </c>
      <c r="I6" s="6" t="s">
        <v>646</v>
      </c>
      <c r="J6" s="6" t="s">
        <v>268</v>
      </c>
      <c r="K6" s="6" t="s">
        <v>269</v>
      </c>
      <c r="L6" s="12">
        <v>44286</v>
      </c>
      <c r="M6" s="15" t="str">
        <f t="shared" si="0"/>
        <v>03/31/21</v>
      </c>
      <c r="N6" s="6" t="e">
        <v>#REF!</v>
      </c>
      <c r="O6" s="10">
        <f t="shared" si="1"/>
        <v>11801.715</v>
      </c>
      <c r="P6" s="11" t="str">
        <f t="shared" si="2"/>
        <v>$11,801.72</v>
      </c>
      <c r="Q6" s="12">
        <v>44328</v>
      </c>
      <c r="R6" s="4" t="str">
        <f t="shared" si="3"/>
        <v>05/12/21</v>
      </c>
      <c r="S6" t="str">
        <f t="shared" si="4"/>
        <v>PINAL</v>
      </c>
      <c r="T6" s="13" t="str">
        <f t="shared" si="5"/>
        <v>509-60-006L</v>
      </c>
      <c r="U6" t="str">
        <f t="shared" si="6"/>
        <v xml:space="preserve">1332 E MARTHA DR </v>
      </c>
      <c r="V6" t="s">
        <v>354</v>
      </c>
      <c r="W6" t="s">
        <v>315</v>
      </c>
      <c r="X6" t="str">
        <f t="shared" si="7"/>
        <v>85122-5455</v>
      </c>
      <c r="Y6" t="str">
        <f t="shared" si="8"/>
        <v>JOSHUA</v>
      </c>
      <c r="Z6" t="str">
        <f t="shared" si="9"/>
        <v>PRUETT</v>
      </c>
      <c r="AA6" t="str">
        <f t="shared" si="10"/>
        <v>COM @ THE W4 COR OF SEC 31-05S-07E TH E-654.04 TH S-328.73 TH E-3 28.12 TO POB TH S-332 TH E-164.06 TH N-332 TH W-164.06 TO POB  AK A PARCEL B-3 IN BK 20 OF SURVEYS PG 107  1.25 AC</v>
      </c>
      <c r="AB6">
        <f t="shared" si="11"/>
        <v>1.25</v>
      </c>
      <c r="AC6" t="str">
        <f t="shared" si="12"/>
        <v>PINAL</v>
      </c>
      <c r="AD6" s="6" t="str">
        <f t="shared" si="13"/>
        <v>85118</v>
      </c>
      <c r="AE6">
        <f t="shared" si="14"/>
        <v>9394.4</v>
      </c>
      <c r="AF6" s="28">
        <v>93944</v>
      </c>
      <c r="AG6" s="29">
        <v>0.1</v>
      </c>
      <c r="AH6" s="6">
        <v>5.0000000000000001E-3</v>
      </c>
      <c r="AI6">
        <f t="shared" si="15"/>
        <v>1.25</v>
      </c>
      <c r="AO6" t="s">
        <v>442</v>
      </c>
      <c r="AP6" t="s">
        <v>443</v>
      </c>
      <c r="AQ6" t="s">
        <v>444</v>
      </c>
      <c r="AR6" t="s">
        <v>445</v>
      </c>
      <c r="AS6" t="s">
        <v>270</v>
      </c>
      <c r="AT6">
        <v>2</v>
      </c>
      <c r="AU6" t="s">
        <v>446</v>
      </c>
      <c r="AV6" t="s">
        <v>447</v>
      </c>
      <c r="AW6" t="s">
        <v>416</v>
      </c>
      <c r="AX6" t="s">
        <v>445</v>
      </c>
      <c r="AY6" t="s">
        <v>270</v>
      </c>
      <c r="AZ6">
        <v>1</v>
      </c>
      <c r="BC6" t="s">
        <v>448</v>
      </c>
      <c r="BD6" t="s">
        <v>449</v>
      </c>
      <c r="BH6" t="s">
        <v>271</v>
      </c>
      <c r="BS6" t="s">
        <v>315</v>
      </c>
      <c r="BV6" t="s">
        <v>316</v>
      </c>
      <c r="BY6" t="s">
        <v>380</v>
      </c>
      <c r="BZ6" t="s">
        <v>293</v>
      </c>
      <c r="CA6">
        <v>1332</v>
      </c>
      <c r="CD6" t="s">
        <v>450</v>
      </c>
      <c r="CE6" t="s">
        <v>273</v>
      </c>
      <c r="CG6" t="s">
        <v>354</v>
      </c>
      <c r="CH6" t="s">
        <v>354</v>
      </c>
      <c r="CI6" t="s">
        <v>315</v>
      </c>
      <c r="CJ6" t="str">
        <f>"85122-5455"</f>
        <v>85122-5455</v>
      </c>
      <c r="CK6" t="s">
        <v>328</v>
      </c>
      <c r="CL6" t="s">
        <v>451</v>
      </c>
      <c r="CM6" t="s">
        <v>452</v>
      </c>
      <c r="CN6" t="s">
        <v>274</v>
      </c>
      <c r="CO6" t="s">
        <v>453</v>
      </c>
      <c r="CP6" t="str">
        <f>"509-60-006L"</f>
        <v>509-60-006L</v>
      </c>
      <c r="CQ6" t="str">
        <f>"50960006L"</f>
        <v>50960006L</v>
      </c>
      <c r="CR6" t="str">
        <f>""</f>
        <v/>
      </c>
      <c r="CS6">
        <v>4021</v>
      </c>
      <c r="CX6" t="s">
        <v>347</v>
      </c>
      <c r="CY6" t="s">
        <v>330</v>
      </c>
      <c r="CZ6">
        <v>31</v>
      </c>
      <c r="DB6">
        <v>32.943994870901101</v>
      </c>
      <c r="DC6">
        <v>-111.684110417957</v>
      </c>
      <c r="DD6" t="s">
        <v>340</v>
      </c>
      <c r="DM6">
        <v>20</v>
      </c>
      <c r="DN6">
        <v>107</v>
      </c>
      <c r="DO6" t="str">
        <f>""</f>
        <v/>
      </c>
      <c r="DQ6">
        <v>0</v>
      </c>
      <c r="DR6">
        <v>0</v>
      </c>
      <c r="DS6">
        <v>0</v>
      </c>
      <c r="DT6">
        <v>0</v>
      </c>
      <c r="DW6">
        <v>0</v>
      </c>
      <c r="DX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L6">
        <v>0</v>
      </c>
      <c r="EN6">
        <v>0</v>
      </c>
      <c r="EP6">
        <v>0</v>
      </c>
      <c r="ER6">
        <v>0</v>
      </c>
      <c r="ET6">
        <v>0</v>
      </c>
      <c r="EY6">
        <v>0</v>
      </c>
      <c r="FA6">
        <v>0</v>
      </c>
      <c r="FL6">
        <v>0</v>
      </c>
      <c r="FO6" s="3">
        <v>1</v>
      </c>
      <c r="FQ6" t="s">
        <v>341</v>
      </c>
      <c r="FR6" t="s">
        <v>369</v>
      </c>
      <c r="FS6" t="s">
        <v>353</v>
      </c>
      <c r="FU6">
        <v>54450</v>
      </c>
      <c r="FV6">
        <v>1.25</v>
      </c>
      <c r="FW6">
        <v>0</v>
      </c>
      <c r="FX6">
        <v>0</v>
      </c>
      <c r="FY6">
        <v>0</v>
      </c>
      <c r="FZ6">
        <v>0</v>
      </c>
      <c r="GI6" t="s">
        <v>275</v>
      </c>
      <c r="GJ6" t="s">
        <v>357</v>
      </c>
      <c r="GK6" t="s">
        <v>358</v>
      </c>
      <c r="GL6" s="1">
        <v>39420</v>
      </c>
      <c r="GM6" t="s">
        <v>320</v>
      </c>
      <c r="GN6" t="str">
        <f t="shared" si="16"/>
        <v>FALSE</v>
      </c>
      <c r="GO6">
        <v>2021</v>
      </c>
      <c r="GP6">
        <v>2020</v>
      </c>
      <c r="GQ6">
        <v>400</v>
      </c>
      <c r="GR6" t="s">
        <v>276</v>
      </c>
      <c r="GS6" t="s">
        <v>276</v>
      </c>
      <c r="GT6" t="s">
        <v>276</v>
      </c>
      <c r="GU6" t="s">
        <v>276</v>
      </c>
      <c r="GV6" t="s">
        <v>276</v>
      </c>
      <c r="GW6" t="s">
        <v>276</v>
      </c>
      <c r="GX6" t="s">
        <v>276</v>
      </c>
      <c r="GY6" t="s">
        <v>276</v>
      </c>
      <c r="GZ6" t="s">
        <v>276</v>
      </c>
      <c r="HA6" t="s">
        <v>276</v>
      </c>
      <c r="HB6" t="s">
        <v>276</v>
      </c>
      <c r="HC6" t="s">
        <v>276</v>
      </c>
      <c r="HD6" t="s">
        <v>276</v>
      </c>
      <c r="HE6" s="2">
        <v>0</v>
      </c>
      <c r="HF6" s="2">
        <v>0</v>
      </c>
      <c r="HG6" s="2">
        <v>0</v>
      </c>
      <c r="HH6">
        <v>0</v>
      </c>
      <c r="HI6" s="7">
        <v>30223</v>
      </c>
      <c r="HJ6" s="8">
        <v>30223</v>
      </c>
      <c r="HK6" s="8">
        <v>0</v>
      </c>
      <c r="HL6">
        <v>0</v>
      </c>
      <c r="HM6" s="2">
        <v>0</v>
      </c>
      <c r="HN6" s="2">
        <v>0</v>
      </c>
      <c r="HO6" s="2">
        <v>0</v>
      </c>
      <c r="HP6">
        <v>0</v>
      </c>
      <c r="HQ6" s="2">
        <v>324.44</v>
      </c>
      <c r="HS6" s="2">
        <v>30223</v>
      </c>
      <c r="HV6" t="s">
        <v>362</v>
      </c>
      <c r="HY6" t="s">
        <v>363</v>
      </c>
      <c r="HZ6" t="s">
        <v>364</v>
      </c>
      <c r="IA6" t="s">
        <v>365</v>
      </c>
      <c r="IF6" t="str">
        <f>""</f>
        <v/>
      </c>
      <c r="IG6" t="str">
        <f>""</f>
        <v/>
      </c>
      <c r="IH6" s="1">
        <v>44049</v>
      </c>
      <c r="II6" s="1">
        <v>44055</v>
      </c>
      <c r="IJ6" s="30">
        <v>53000</v>
      </c>
      <c r="IK6" t="s">
        <v>306</v>
      </c>
      <c r="IL6" t="s">
        <v>302</v>
      </c>
      <c r="IM6" t="s">
        <v>454</v>
      </c>
      <c r="IS6" t="str">
        <f>""</f>
        <v/>
      </c>
      <c r="IX6" t="str">
        <f>""</f>
        <v/>
      </c>
      <c r="IZ6" t="s">
        <v>402</v>
      </c>
      <c r="JA6" t="s">
        <v>277</v>
      </c>
      <c r="JC6" t="str">
        <f>"2020.79443"</f>
        <v>2020.79443</v>
      </c>
      <c r="JM6" t="str">
        <f>""</f>
        <v/>
      </c>
      <c r="JN6" t="str">
        <f>HYPERLINK("https://web.datatree.com/?/property?propertyId=159896268")</f>
        <v>https://web.datatree.com/?/property?propertyId=159896268</v>
      </c>
    </row>
    <row r="7" spans="1:274" x14ac:dyDescent="0.25">
      <c r="B7" s="6" t="s">
        <v>265</v>
      </c>
      <c r="C7" s="6" t="s">
        <v>266</v>
      </c>
      <c r="D7" s="6" t="s">
        <v>267</v>
      </c>
      <c r="E7" s="6" t="s">
        <v>644</v>
      </c>
      <c r="F7" s="6" t="s">
        <v>645</v>
      </c>
      <c r="G7" s="6" t="s">
        <v>315</v>
      </c>
      <c r="H7" s="6">
        <v>85258</v>
      </c>
      <c r="I7" s="6" t="s">
        <v>646</v>
      </c>
      <c r="J7" s="6" t="s">
        <v>268</v>
      </c>
      <c r="K7" s="6" t="s">
        <v>269</v>
      </c>
      <c r="L7" s="12">
        <v>44286</v>
      </c>
      <c r="M7" s="15" t="str">
        <f t="shared" si="0"/>
        <v>03/31/21</v>
      </c>
      <c r="N7" s="6" t="e">
        <v>#REF!</v>
      </c>
      <c r="O7" s="10">
        <f t="shared" si="1"/>
        <v>11801.715</v>
      </c>
      <c r="P7" s="11" t="str">
        <f t="shared" si="2"/>
        <v>$11,801.72</v>
      </c>
      <c r="Q7" s="12">
        <v>44328</v>
      </c>
      <c r="R7" s="4" t="str">
        <f t="shared" si="3"/>
        <v>05/12/21</v>
      </c>
      <c r="S7" t="str">
        <f t="shared" si="4"/>
        <v>PINAL</v>
      </c>
      <c r="T7" s="13" t="str">
        <f t="shared" si="5"/>
        <v>509-92-107</v>
      </c>
      <c r="U7" t="str">
        <f t="shared" si="6"/>
        <v xml:space="preserve">3295 S OLEANDER DR </v>
      </c>
      <c r="V7" t="s">
        <v>404</v>
      </c>
      <c r="W7" t="s">
        <v>315</v>
      </c>
      <c r="X7" t="str">
        <f t="shared" si="7"/>
        <v>85248-3651</v>
      </c>
      <c r="Y7" t="str">
        <f t="shared" si="8"/>
        <v>HEUVEL</v>
      </c>
      <c r="Z7" t="str">
        <f t="shared" si="9"/>
        <v>VANDEN</v>
      </c>
      <c r="AA7" t="str">
        <f t="shared" si="10"/>
        <v>LOT 107 LAS MONTANAS UNIT 2 CAB G SLD 074 SEC 29 05S-07E 1.25 AC</v>
      </c>
      <c r="AB7">
        <f t="shared" si="11"/>
        <v>1.25</v>
      </c>
      <c r="AC7" t="str">
        <f t="shared" si="12"/>
        <v>PINAL</v>
      </c>
      <c r="AD7" s="6" t="str">
        <f t="shared" si="13"/>
        <v>85118</v>
      </c>
      <c r="AE7">
        <f t="shared" si="14"/>
        <v>9394.4</v>
      </c>
      <c r="AF7" s="28">
        <v>93944</v>
      </c>
      <c r="AG7" s="29">
        <v>0.1</v>
      </c>
      <c r="AH7" s="6">
        <v>5.0000000000000001E-3</v>
      </c>
      <c r="AI7">
        <f t="shared" si="15"/>
        <v>1.25</v>
      </c>
      <c r="AO7" t="s">
        <v>517</v>
      </c>
      <c r="AP7" t="s">
        <v>518</v>
      </c>
      <c r="AQ7" t="s">
        <v>519</v>
      </c>
      <c r="AR7" t="s">
        <v>520</v>
      </c>
      <c r="AS7" t="s">
        <v>270</v>
      </c>
      <c r="AT7">
        <v>4</v>
      </c>
      <c r="AU7" t="s">
        <v>521</v>
      </c>
      <c r="AV7" t="s">
        <v>522</v>
      </c>
      <c r="AW7" t="s">
        <v>440</v>
      </c>
      <c r="AX7" t="s">
        <v>520</v>
      </c>
      <c r="AY7" t="s">
        <v>270</v>
      </c>
      <c r="AZ7">
        <v>2</v>
      </c>
      <c r="BC7" t="s">
        <v>523</v>
      </c>
      <c r="BD7" t="s">
        <v>524</v>
      </c>
      <c r="BH7" t="s">
        <v>271</v>
      </c>
      <c r="BJ7" t="s">
        <v>296</v>
      </c>
      <c r="BK7">
        <v>9477</v>
      </c>
      <c r="BN7" t="s">
        <v>407</v>
      </c>
      <c r="BS7" t="s">
        <v>315</v>
      </c>
      <c r="BV7" t="s">
        <v>316</v>
      </c>
      <c r="BX7" t="s">
        <v>525</v>
      </c>
      <c r="BY7" t="s">
        <v>526</v>
      </c>
      <c r="BZ7" t="s">
        <v>294</v>
      </c>
      <c r="CA7">
        <v>3295</v>
      </c>
      <c r="CD7" t="s">
        <v>527</v>
      </c>
      <c r="CE7" t="s">
        <v>273</v>
      </c>
      <c r="CG7" t="s">
        <v>404</v>
      </c>
      <c r="CH7" t="s">
        <v>404</v>
      </c>
      <c r="CI7" t="s">
        <v>315</v>
      </c>
      <c r="CJ7" t="str">
        <f>"85248-3651"</f>
        <v>85248-3651</v>
      </c>
      <c r="CK7" t="s">
        <v>284</v>
      </c>
      <c r="CL7" t="s">
        <v>528</v>
      </c>
      <c r="CM7" t="s">
        <v>529</v>
      </c>
      <c r="CN7" t="s">
        <v>274</v>
      </c>
      <c r="CO7" t="s">
        <v>530</v>
      </c>
      <c r="CP7" t="str">
        <f>"509-92-107"</f>
        <v>509-92-107</v>
      </c>
      <c r="CQ7" t="str">
        <f>"50992107"</f>
        <v>50992107</v>
      </c>
      <c r="CR7" t="str">
        <f>""</f>
        <v/>
      </c>
      <c r="CS7">
        <v>4021</v>
      </c>
      <c r="CX7" t="s">
        <v>347</v>
      </c>
      <c r="CY7" t="s">
        <v>330</v>
      </c>
      <c r="CZ7">
        <v>29</v>
      </c>
      <c r="DB7">
        <v>32.958004313585597</v>
      </c>
      <c r="DC7">
        <v>-111.668984029763</v>
      </c>
      <c r="DD7" t="s">
        <v>390</v>
      </c>
      <c r="DI7" t="s">
        <v>391</v>
      </c>
      <c r="DK7" t="s">
        <v>392</v>
      </c>
      <c r="DO7" t="str">
        <f>"107"</f>
        <v>107</v>
      </c>
      <c r="DQ7">
        <v>0</v>
      </c>
      <c r="DR7">
        <v>0</v>
      </c>
      <c r="DS7">
        <v>0</v>
      </c>
      <c r="DT7">
        <v>0</v>
      </c>
      <c r="DW7">
        <v>0</v>
      </c>
      <c r="DX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L7">
        <v>0</v>
      </c>
      <c r="EN7">
        <v>0</v>
      </c>
      <c r="EP7">
        <v>0</v>
      </c>
      <c r="ER7">
        <v>0</v>
      </c>
      <c r="ET7">
        <v>0</v>
      </c>
      <c r="EY7">
        <v>0</v>
      </c>
      <c r="FA7">
        <v>0</v>
      </c>
      <c r="FL7">
        <v>0</v>
      </c>
      <c r="FO7" s="3">
        <v>1</v>
      </c>
      <c r="FQ7" t="s">
        <v>317</v>
      </c>
      <c r="FR7" t="s">
        <v>370</v>
      </c>
      <c r="FS7" t="s">
        <v>371</v>
      </c>
      <c r="FU7">
        <v>54450</v>
      </c>
      <c r="FV7">
        <v>1.25</v>
      </c>
      <c r="FW7">
        <v>0</v>
      </c>
      <c r="FX7">
        <v>0</v>
      </c>
      <c r="FY7">
        <v>0</v>
      </c>
      <c r="FZ7">
        <v>0</v>
      </c>
      <c r="GI7" t="s">
        <v>275</v>
      </c>
      <c r="GJ7" t="s">
        <v>357</v>
      </c>
      <c r="GK7" t="s">
        <v>358</v>
      </c>
      <c r="GL7" s="1">
        <v>39420</v>
      </c>
      <c r="GM7" t="s">
        <v>320</v>
      </c>
      <c r="GN7" t="str">
        <f t="shared" si="16"/>
        <v>FALSE</v>
      </c>
      <c r="GO7">
        <v>2021</v>
      </c>
      <c r="GQ7">
        <v>2100</v>
      </c>
      <c r="GR7" t="s">
        <v>276</v>
      </c>
      <c r="GS7" t="s">
        <v>276</v>
      </c>
      <c r="GT7" t="s">
        <v>276</v>
      </c>
      <c r="GU7" t="s">
        <v>276</v>
      </c>
      <c r="GV7" t="s">
        <v>276</v>
      </c>
      <c r="GW7" t="s">
        <v>276</v>
      </c>
      <c r="GX7" t="s">
        <v>276</v>
      </c>
      <c r="GY7" t="s">
        <v>276</v>
      </c>
      <c r="GZ7" t="s">
        <v>276</v>
      </c>
      <c r="HA7" t="s">
        <v>276</v>
      </c>
      <c r="HB7" t="s">
        <v>276</v>
      </c>
      <c r="HC7" t="s">
        <v>276</v>
      </c>
      <c r="HD7" t="s">
        <v>276</v>
      </c>
      <c r="HE7" s="2">
        <v>0</v>
      </c>
      <c r="HF7" s="2">
        <v>0</v>
      </c>
      <c r="HG7" s="2">
        <v>0</v>
      </c>
      <c r="HH7">
        <v>0</v>
      </c>
      <c r="HI7" s="7">
        <v>60943</v>
      </c>
      <c r="HJ7" s="8">
        <v>60943</v>
      </c>
      <c r="HK7" s="8">
        <v>0</v>
      </c>
      <c r="HL7">
        <v>0</v>
      </c>
      <c r="HM7" s="2">
        <v>0</v>
      </c>
      <c r="HN7" s="2">
        <v>0</v>
      </c>
      <c r="HO7" s="2">
        <v>0</v>
      </c>
      <c r="HP7">
        <v>0</v>
      </c>
      <c r="HS7" s="2">
        <v>60943</v>
      </c>
      <c r="HV7" t="s">
        <v>333</v>
      </c>
      <c r="HY7" t="s">
        <v>334</v>
      </c>
      <c r="HZ7" t="s">
        <v>335</v>
      </c>
      <c r="IA7" t="s">
        <v>336</v>
      </c>
      <c r="IF7" t="str">
        <f>""</f>
        <v/>
      </c>
      <c r="IG7" t="str">
        <f>""</f>
        <v/>
      </c>
      <c r="IH7" s="1">
        <v>39555</v>
      </c>
      <c r="II7" s="1">
        <v>39568</v>
      </c>
      <c r="IJ7" s="30">
        <v>178000</v>
      </c>
      <c r="IL7" t="s">
        <v>308</v>
      </c>
      <c r="IM7" t="s">
        <v>531</v>
      </c>
      <c r="IS7" t="str">
        <f>"                    "</f>
        <v xml:space="preserve">                    </v>
      </c>
      <c r="IX7" t="str">
        <f>"                    "</f>
        <v xml:space="preserve">                    </v>
      </c>
      <c r="IZ7" t="s">
        <v>360</v>
      </c>
      <c r="JA7" t="s">
        <v>277</v>
      </c>
      <c r="JC7" t="str">
        <f>"2008.41036"</f>
        <v>2008.41036</v>
      </c>
      <c r="JE7" s="1">
        <v>39568</v>
      </c>
      <c r="JF7" s="2">
        <v>178000</v>
      </c>
      <c r="JG7" t="s">
        <v>308</v>
      </c>
      <c r="JI7" s="2">
        <v>0</v>
      </c>
      <c r="JM7" t="str">
        <f>"2008.41036"</f>
        <v>2008.41036</v>
      </c>
      <c r="JN7" t="str">
        <f>HYPERLINK("https://web.datatree.com/?/property?propertyId=5903097")</f>
        <v>https://web.datatree.com/?/property?propertyId=5903097</v>
      </c>
    </row>
    <row r="8" spans="1:274" x14ac:dyDescent="0.25">
      <c r="B8" s="6" t="s">
        <v>265</v>
      </c>
      <c r="C8" s="6" t="s">
        <v>266</v>
      </c>
      <c r="D8" s="6" t="s">
        <v>267</v>
      </c>
      <c r="E8" s="6" t="s">
        <v>644</v>
      </c>
      <c r="F8" s="6" t="s">
        <v>645</v>
      </c>
      <c r="G8" s="6" t="s">
        <v>315</v>
      </c>
      <c r="H8" s="6">
        <v>85258</v>
      </c>
      <c r="I8" s="6" t="s">
        <v>646</v>
      </c>
      <c r="J8" s="6" t="s">
        <v>268</v>
      </c>
      <c r="K8" s="6" t="s">
        <v>269</v>
      </c>
      <c r="L8" s="12">
        <v>44286</v>
      </c>
      <c r="M8" s="15" t="str">
        <f t="shared" si="0"/>
        <v>03/31/21</v>
      </c>
      <c r="N8" s="6" t="e">
        <v>#REF!</v>
      </c>
      <c r="O8" s="10">
        <f t="shared" si="1"/>
        <v>11801.715</v>
      </c>
      <c r="P8" s="11" t="str">
        <f t="shared" si="2"/>
        <v>$11,801.72</v>
      </c>
      <c r="Q8" s="12">
        <v>44328</v>
      </c>
      <c r="R8" s="4" t="str">
        <f t="shared" si="3"/>
        <v>05/12/21</v>
      </c>
      <c r="S8" t="str">
        <f t="shared" si="4"/>
        <v>PINAL</v>
      </c>
      <c r="T8" s="13" t="str">
        <f t="shared" si="5"/>
        <v>509-92-102</v>
      </c>
      <c r="U8" t="str">
        <f t="shared" si="6"/>
        <v xml:space="preserve">PO BOX 266 </v>
      </c>
      <c r="V8" t="s">
        <v>346</v>
      </c>
      <c r="W8" t="s">
        <v>315</v>
      </c>
      <c r="X8" t="str">
        <f t="shared" si="7"/>
        <v>85128</v>
      </c>
      <c r="Y8">
        <f t="shared" si="8"/>
        <v>0</v>
      </c>
      <c r="Z8" t="str">
        <f t="shared" si="9"/>
        <v>PEW ENTERPRISES LLLP</v>
      </c>
      <c r="AA8" t="str">
        <f t="shared" si="10"/>
        <v>LOT 102 LAS MONTANAS UNIT 2 CAB G SLD 074 SEC 29 05S-07E 1.25 AC</v>
      </c>
      <c r="AB8">
        <f t="shared" si="11"/>
        <v>1.25</v>
      </c>
      <c r="AC8" t="str">
        <f t="shared" si="12"/>
        <v>PINAL</v>
      </c>
      <c r="AD8" s="6" t="str">
        <f t="shared" si="13"/>
        <v>85118</v>
      </c>
      <c r="AE8">
        <f t="shared" si="14"/>
        <v>9394.4</v>
      </c>
      <c r="AF8" s="28">
        <v>93944</v>
      </c>
      <c r="AG8" s="29">
        <v>0.1</v>
      </c>
      <c r="AH8" s="6">
        <v>5.0000000000000001E-3</v>
      </c>
      <c r="AI8">
        <f t="shared" si="15"/>
        <v>1.25</v>
      </c>
      <c r="AO8" t="s">
        <v>623</v>
      </c>
      <c r="AR8" t="s">
        <v>623</v>
      </c>
      <c r="AS8" t="s">
        <v>278</v>
      </c>
      <c r="AT8">
        <v>1</v>
      </c>
      <c r="BC8" t="s">
        <v>623</v>
      </c>
      <c r="BD8" t="s">
        <v>623</v>
      </c>
      <c r="BF8" t="s">
        <v>292</v>
      </c>
      <c r="BH8" t="s">
        <v>288</v>
      </c>
      <c r="BJ8" t="s">
        <v>296</v>
      </c>
      <c r="BK8">
        <v>9342</v>
      </c>
      <c r="BN8" t="s">
        <v>407</v>
      </c>
      <c r="BS8" t="s">
        <v>315</v>
      </c>
      <c r="BV8" t="s">
        <v>316</v>
      </c>
      <c r="BX8" t="s">
        <v>624</v>
      </c>
      <c r="BY8" t="s">
        <v>625</v>
      </c>
      <c r="CD8" t="s">
        <v>626</v>
      </c>
      <c r="CG8" t="s">
        <v>346</v>
      </c>
      <c r="CH8" t="s">
        <v>346</v>
      </c>
      <c r="CI8" t="s">
        <v>315</v>
      </c>
      <c r="CJ8" t="str">
        <f>"85128"</f>
        <v>85128</v>
      </c>
      <c r="CK8" t="s">
        <v>622</v>
      </c>
      <c r="CL8" t="s">
        <v>627</v>
      </c>
      <c r="CM8" t="s">
        <v>628</v>
      </c>
      <c r="CN8" t="s">
        <v>274</v>
      </c>
      <c r="CO8" t="s">
        <v>629</v>
      </c>
      <c r="CP8" t="str">
        <f>"509-92-102"</f>
        <v>509-92-102</v>
      </c>
      <c r="CQ8" t="str">
        <f>"50992102"</f>
        <v>50992102</v>
      </c>
      <c r="CR8" t="str">
        <f>""</f>
        <v/>
      </c>
      <c r="CS8">
        <v>4021</v>
      </c>
      <c r="CX8" t="s">
        <v>347</v>
      </c>
      <c r="CY8" t="s">
        <v>330</v>
      </c>
      <c r="CZ8">
        <v>29</v>
      </c>
      <c r="DB8">
        <v>32.958856139398897</v>
      </c>
      <c r="DC8">
        <v>-111.667615340609</v>
      </c>
      <c r="DD8" t="s">
        <v>390</v>
      </c>
      <c r="DI8" t="s">
        <v>391</v>
      </c>
      <c r="DK8" t="s">
        <v>392</v>
      </c>
      <c r="DO8" t="str">
        <f>"102"</f>
        <v>102</v>
      </c>
      <c r="DQ8">
        <v>0</v>
      </c>
      <c r="DR8">
        <v>0</v>
      </c>
      <c r="DS8">
        <v>0</v>
      </c>
      <c r="DT8">
        <v>0</v>
      </c>
      <c r="DW8">
        <v>0</v>
      </c>
      <c r="DX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L8">
        <v>0</v>
      </c>
      <c r="EN8">
        <v>0</v>
      </c>
      <c r="EP8">
        <v>0</v>
      </c>
      <c r="ER8">
        <v>0</v>
      </c>
      <c r="ET8">
        <v>0</v>
      </c>
      <c r="EY8">
        <v>0</v>
      </c>
      <c r="FA8">
        <v>0</v>
      </c>
      <c r="FL8">
        <v>0</v>
      </c>
      <c r="FO8" s="3">
        <v>1</v>
      </c>
      <c r="FQ8" t="s">
        <v>317</v>
      </c>
      <c r="FR8" t="s">
        <v>370</v>
      </c>
      <c r="FS8" t="s">
        <v>371</v>
      </c>
      <c r="FU8">
        <v>54450</v>
      </c>
      <c r="FV8">
        <v>1.25</v>
      </c>
      <c r="FW8">
        <v>0</v>
      </c>
      <c r="FX8">
        <v>0</v>
      </c>
      <c r="FY8">
        <v>0</v>
      </c>
      <c r="FZ8">
        <v>0</v>
      </c>
      <c r="GI8" t="s">
        <v>275</v>
      </c>
      <c r="GJ8" t="s">
        <v>357</v>
      </c>
      <c r="GK8" t="s">
        <v>358</v>
      </c>
      <c r="GL8" s="1">
        <v>39420</v>
      </c>
      <c r="GM8" t="s">
        <v>320</v>
      </c>
      <c r="GN8" t="str">
        <f t="shared" si="16"/>
        <v>FALSE</v>
      </c>
      <c r="GO8">
        <v>2021</v>
      </c>
      <c r="GQ8">
        <v>2100</v>
      </c>
      <c r="GR8" t="s">
        <v>276</v>
      </c>
      <c r="GS8" t="s">
        <v>276</v>
      </c>
      <c r="GT8" t="s">
        <v>276</v>
      </c>
      <c r="GU8" t="s">
        <v>276</v>
      </c>
      <c r="GV8" t="s">
        <v>276</v>
      </c>
      <c r="GW8" t="s">
        <v>276</v>
      </c>
      <c r="GX8" t="s">
        <v>276</v>
      </c>
      <c r="GY8" t="s">
        <v>276</v>
      </c>
      <c r="GZ8" t="s">
        <v>276</v>
      </c>
      <c r="HA8" t="s">
        <v>276</v>
      </c>
      <c r="HB8" t="s">
        <v>276</v>
      </c>
      <c r="HC8" t="s">
        <v>276</v>
      </c>
      <c r="HD8" t="s">
        <v>276</v>
      </c>
      <c r="HE8" s="2">
        <v>0</v>
      </c>
      <c r="HF8" s="2">
        <v>0</v>
      </c>
      <c r="HG8" s="2">
        <v>0</v>
      </c>
      <c r="HH8">
        <v>0</v>
      </c>
      <c r="HI8" s="7">
        <v>60943</v>
      </c>
      <c r="HJ8" s="8">
        <v>60943</v>
      </c>
      <c r="HK8" s="8">
        <v>0</v>
      </c>
      <c r="HL8">
        <v>0</v>
      </c>
      <c r="HM8" s="2">
        <v>0</v>
      </c>
      <c r="HN8" s="2">
        <v>0</v>
      </c>
      <c r="HO8" s="2">
        <v>0</v>
      </c>
      <c r="HP8">
        <v>0</v>
      </c>
      <c r="HS8" s="2">
        <v>60943</v>
      </c>
      <c r="HV8" t="s">
        <v>333</v>
      </c>
      <c r="HY8" t="s">
        <v>334</v>
      </c>
      <c r="HZ8" t="s">
        <v>335</v>
      </c>
      <c r="IA8" t="s">
        <v>336</v>
      </c>
      <c r="IF8" t="str">
        <f>""</f>
        <v/>
      </c>
      <c r="IG8" t="str">
        <f>""</f>
        <v/>
      </c>
      <c r="II8" s="1">
        <v>39583</v>
      </c>
      <c r="IJ8" s="30">
        <v>131000</v>
      </c>
      <c r="IK8" t="s">
        <v>306</v>
      </c>
      <c r="IL8" t="s">
        <v>308</v>
      </c>
      <c r="IM8" t="s">
        <v>630</v>
      </c>
      <c r="IS8" t="str">
        <f>"                    "</f>
        <v xml:space="preserve">                    </v>
      </c>
      <c r="IX8" t="str">
        <f>"                    "</f>
        <v xml:space="preserve">                    </v>
      </c>
      <c r="JA8" t="s">
        <v>277</v>
      </c>
      <c r="JC8" t="str">
        <f>"2008.46513"</f>
        <v>2008.46513</v>
      </c>
      <c r="JD8" s="1">
        <v>39042</v>
      </c>
      <c r="JE8" s="1">
        <v>39057</v>
      </c>
      <c r="JF8" s="2">
        <v>265000</v>
      </c>
      <c r="JG8" t="s">
        <v>286</v>
      </c>
      <c r="JH8" t="s">
        <v>631</v>
      </c>
      <c r="JI8" s="2">
        <v>120000</v>
      </c>
      <c r="JJ8" t="s">
        <v>289</v>
      </c>
      <c r="JK8" t="s">
        <v>290</v>
      </c>
      <c r="JM8" t="str">
        <f>"2006.167280"</f>
        <v>2006.167280</v>
      </c>
      <c r="JN8" t="str">
        <f>HYPERLINK("https://web.datatree.com/?/property?propertyId=6151598")</f>
        <v>https://web.datatree.com/?/property?propertyId=6151598</v>
      </c>
    </row>
    <row r="9" spans="1:274" x14ac:dyDescent="0.25">
      <c r="B9" s="6" t="s">
        <v>265</v>
      </c>
      <c r="C9" s="6" t="s">
        <v>266</v>
      </c>
      <c r="D9" s="6" t="s">
        <v>267</v>
      </c>
      <c r="E9" s="6" t="s">
        <v>644</v>
      </c>
      <c r="F9" s="6" t="s">
        <v>645</v>
      </c>
      <c r="G9" s="6" t="s">
        <v>315</v>
      </c>
      <c r="H9" s="6">
        <v>85258</v>
      </c>
      <c r="I9" s="6" t="s">
        <v>646</v>
      </c>
      <c r="J9" s="6" t="s">
        <v>268</v>
      </c>
      <c r="K9" s="6" t="s">
        <v>269</v>
      </c>
      <c r="L9" s="12">
        <v>44286</v>
      </c>
      <c r="M9" s="15" t="str">
        <f t="shared" si="0"/>
        <v>03/31/21</v>
      </c>
      <c r="N9" s="6" t="e">
        <v>#REF!</v>
      </c>
      <c r="O9" s="10">
        <f t="shared" si="1"/>
        <v>11801.715</v>
      </c>
      <c r="P9" s="11" t="str">
        <f t="shared" si="2"/>
        <v>$11,801.72</v>
      </c>
      <c r="Q9" s="12">
        <v>44328</v>
      </c>
      <c r="R9" s="4" t="str">
        <f t="shared" si="3"/>
        <v>05/12/21</v>
      </c>
      <c r="S9" t="str">
        <f t="shared" si="4"/>
        <v>PINAL</v>
      </c>
      <c r="T9" s="13" t="str">
        <f t="shared" si="5"/>
        <v>509-92-098</v>
      </c>
      <c r="U9" t="str">
        <f t="shared" si="6"/>
        <v xml:space="preserve">10032 N 38TH ST </v>
      </c>
      <c r="V9" t="s">
        <v>338</v>
      </c>
      <c r="W9" t="s">
        <v>315</v>
      </c>
      <c r="X9" t="str">
        <f t="shared" si="7"/>
        <v>85028-4012</v>
      </c>
      <c r="Y9">
        <f t="shared" si="8"/>
        <v>0</v>
      </c>
      <c r="Z9" t="str">
        <f t="shared" si="9"/>
        <v>CASA GRANDE MONTANAS LLP</v>
      </c>
      <c r="AA9" t="str">
        <f t="shared" si="10"/>
        <v>LOT 098 LAS MONTANAS UNIT 2 CAB G SLD 074 SEC 29 05S-07E 1.25 AC</v>
      </c>
      <c r="AB9">
        <f t="shared" si="11"/>
        <v>1.25</v>
      </c>
      <c r="AC9" t="str">
        <f t="shared" si="12"/>
        <v>PINAL</v>
      </c>
      <c r="AD9" s="6" t="str">
        <f t="shared" si="13"/>
        <v>85118</v>
      </c>
      <c r="AE9">
        <f t="shared" si="14"/>
        <v>9394.4</v>
      </c>
      <c r="AF9" s="28">
        <v>93944</v>
      </c>
      <c r="AG9" s="29">
        <v>0.1</v>
      </c>
      <c r="AH9" s="6">
        <v>5.0000000000000001E-3</v>
      </c>
      <c r="AI9">
        <f t="shared" si="15"/>
        <v>1.25</v>
      </c>
      <c r="AO9" t="s">
        <v>381</v>
      </c>
      <c r="AR9" t="s">
        <v>381</v>
      </c>
      <c r="AS9" t="s">
        <v>278</v>
      </c>
      <c r="AT9">
        <v>20</v>
      </c>
      <c r="BC9" t="s">
        <v>381</v>
      </c>
      <c r="BD9" t="s">
        <v>381</v>
      </c>
      <c r="BF9" t="s">
        <v>287</v>
      </c>
      <c r="BH9" t="s">
        <v>271</v>
      </c>
      <c r="BJ9" t="s">
        <v>296</v>
      </c>
      <c r="BK9">
        <v>9343</v>
      </c>
      <c r="BN9" t="s">
        <v>382</v>
      </c>
      <c r="BS9" t="s">
        <v>315</v>
      </c>
      <c r="BV9" t="s">
        <v>316</v>
      </c>
      <c r="BX9" t="s">
        <v>383</v>
      </c>
      <c r="BY9" t="s">
        <v>384</v>
      </c>
      <c r="BZ9" t="s">
        <v>276</v>
      </c>
      <c r="CA9">
        <v>10032</v>
      </c>
      <c r="CD9" t="s">
        <v>385</v>
      </c>
      <c r="CE9" t="s">
        <v>281</v>
      </c>
      <c r="CG9" t="s">
        <v>338</v>
      </c>
      <c r="CH9" t="s">
        <v>338</v>
      </c>
      <c r="CI9" t="s">
        <v>315</v>
      </c>
      <c r="CJ9" t="str">
        <f>"85028-4012"</f>
        <v>85028-4012</v>
      </c>
      <c r="CK9" t="s">
        <v>386</v>
      </c>
      <c r="CL9" t="s">
        <v>387</v>
      </c>
      <c r="CM9" t="s">
        <v>388</v>
      </c>
      <c r="CN9" t="s">
        <v>274</v>
      </c>
      <c r="CO9" t="s">
        <v>389</v>
      </c>
      <c r="CP9" t="str">
        <f>"509-92-098"</f>
        <v>509-92-098</v>
      </c>
      <c r="CQ9" t="str">
        <f>"50992098"</f>
        <v>50992098</v>
      </c>
      <c r="CR9" t="str">
        <f>""</f>
        <v/>
      </c>
      <c r="CS9">
        <v>4021</v>
      </c>
      <c r="CX9" t="s">
        <v>347</v>
      </c>
      <c r="CY9" t="s">
        <v>330</v>
      </c>
      <c r="CZ9">
        <v>29</v>
      </c>
      <c r="DB9">
        <v>32.959570758908697</v>
      </c>
      <c r="DC9">
        <v>-111.667620457534</v>
      </c>
      <c r="DD9" t="s">
        <v>390</v>
      </c>
      <c r="DI9" t="s">
        <v>391</v>
      </c>
      <c r="DK9" t="s">
        <v>392</v>
      </c>
      <c r="DO9" t="str">
        <f>"98"</f>
        <v>98</v>
      </c>
      <c r="DQ9">
        <v>0</v>
      </c>
      <c r="DR9">
        <v>0</v>
      </c>
      <c r="DS9">
        <v>0</v>
      </c>
      <c r="DT9">
        <v>0</v>
      </c>
      <c r="DW9">
        <v>0</v>
      </c>
      <c r="DX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L9">
        <v>0</v>
      </c>
      <c r="EN9">
        <v>0</v>
      </c>
      <c r="EP9">
        <v>0</v>
      </c>
      <c r="ER9">
        <v>0</v>
      </c>
      <c r="ET9">
        <v>0</v>
      </c>
      <c r="EY9">
        <v>0</v>
      </c>
      <c r="FA9">
        <v>0</v>
      </c>
      <c r="FL9">
        <v>0</v>
      </c>
      <c r="FO9" s="3">
        <v>1</v>
      </c>
      <c r="FQ9" t="s">
        <v>317</v>
      </c>
      <c r="FR9" t="s">
        <v>370</v>
      </c>
      <c r="FS9" t="s">
        <v>371</v>
      </c>
      <c r="FU9">
        <v>54450</v>
      </c>
      <c r="FV9">
        <v>1.25</v>
      </c>
      <c r="FW9">
        <v>0</v>
      </c>
      <c r="FX9">
        <v>0</v>
      </c>
      <c r="FY9">
        <v>0</v>
      </c>
      <c r="FZ9">
        <v>0</v>
      </c>
      <c r="GI9" t="s">
        <v>275</v>
      </c>
      <c r="GJ9" t="s">
        <v>357</v>
      </c>
      <c r="GK9" t="s">
        <v>358</v>
      </c>
      <c r="GL9" s="1">
        <v>39420</v>
      </c>
      <c r="GM9" t="s">
        <v>320</v>
      </c>
      <c r="GN9" t="str">
        <f t="shared" si="16"/>
        <v>FALSE</v>
      </c>
      <c r="GO9">
        <v>2021</v>
      </c>
      <c r="GQ9">
        <v>2100</v>
      </c>
      <c r="GR9" t="s">
        <v>276</v>
      </c>
      <c r="GS9" t="s">
        <v>276</v>
      </c>
      <c r="GT9" t="s">
        <v>276</v>
      </c>
      <c r="GU9" t="s">
        <v>276</v>
      </c>
      <c r="GV9" t="s">
        <v>276</v>
      </c>
      <c r="GW9" t="s">
        <v>276</v>
      </c>
      <c r="GX9" t="s">
        <v>276</v>
      </c>
      <c r="GY9" t="s">
        <v>276</v>
      </c>
      <c r="GZ9" t="s">
        <v>276</v>
      </c>
      <c r="HA9" t="s">
        <v>276</v>
      </c>
      <c r="HB9" t="s">
        <v>276</v>
      </c>
      <c r="HC9" t="s">
        <v>276</v>
      </c>
      <c r="HD9" t="s">
        <v>276</v>
      </c>
      <c r="HE9" s="2">
        <v>0</v>
      </c>
      <c r="HF9" s="2">
        <v>0</v>
      </c>
      <c r="HG9" s="2">
        <v>0</v>
      </c>
      <c r="HH9">
        <v>0</v>
      </c>
      <c r="HI9" s="7">
        <v>60943</v>
      </c>
      <c r="HJ9" s="8">
        <v>60943</v>
      </c>
      <c r="HK9" s="8">
        <v>0</v>
      </c>
      <c r="HL9">
        <v>0</v>
      </c>
      <c r="HM9" s="2">
        <v>0</v>
      </c>
      <c r="HN9" s="2">
        <v>0</v>
      </c>
      <c r="HO9" s="2">
        <v>0</v>
      </c>
      <c r="HP9">
        <v>0</v>
      </c>
      <c r="HS9" s="2">
        <v>60943</v>
      </c>
      <c r="HV9" t="s">
        <v>333</v>
      </c>
      <c r="HY9" t="s">
        <v>334</v>
      </c>
      <c r="HZ9" t="s">
        <v>335</v>
      </c>
      <c r="IA9" t="s">
        <v>336</v>
      </c>
      <c r="IB9" s="1">
        <v>40081</v>
      </c>
      <c r="IC9" s="1">
        <v>40281</v>
      </c>
      <c r="ID9" s="2">
        <v>0</v>
      </c>
      <c r="IE9" t="s">
        <v>308</v>
      </c>
      <c r="IF9" t="str">
        <f>"                    "</f>
        <v xml:space="preserve">                    </v>
      </c>
      <c r="IG9" t="str">
        <f>"2010.34675"</f>
        <v>2010.34675</v>
      </c>
      <c r="IH9" s="1">
        <v>40086</v>
      </c>
      <c r="II9" s="1">
        <v>40087</v>
      </c>
      <c r="IJ9" s="30">
        <v>810000</v>
      </c>
      <c r="IL9" t="s">
        <v>286</v>
      </c>
      <c r="IM9" t="s">
        <v>345</v>
      </c>
      <c r="IS9" t="str">
        <f>"                    "</f>
        <v xml:space="preserve">                    </v>
      </c>
      <c r="IX9" t="str">
        <f>"                    "</f>
        <v xml:space="preserve">                    </v>
      </c>
      <c r="JA9" t="s">
        <v>277</v>
      </c>
      <c r="JC9" t="str">
        <f>"2009.102347"</f>
        <v>2009.102347</v>
      </c>
      <c r="JE9" s="1">
        <v>38503</v>
      </c>
      <c r="JF9" s="2">
        <v>4080000</v>
      </c>
      <c r="JG9" t="s">
        <v>286</v>
      </c>
      <c r="JH9" t="s">
        <v>393</v>
      </c>
      <c r="JI9" s="2">
        <v>4140000</v>
      </c>
      <c r="JJ9" t="s">
        <v>394</v>
      </c>
      <c r="JK9" t="s">
        <v>337</v>
      </c>
      <c r="JM9" t="str">
        <f>"2005.62850"</f>
        <v>2005.62850</v>
      </c>
      <c r="JN9" t="str">
        <f>HYPERLINK("https://web.datatree.com/?/property?propertyId=6632751")</f>
        <v>https://web.datatree.com/?/property?propertyId=6632751</v>
      </c>
    </row>
    <row r="10" spans="1:274" x14ac:dyDescent="0.25">
      <c r="B10" s="6" t="s">
        <v>265</v>
      </c>
      <c r="C10" s="6" t="s">
        <v>266</v>
      </c>
      <c r="D10" s="6" t="s">
        <v>267</v>
      </c>
      <c r="E10" s="6" t="s">
        <v>644</v>
      </c>
      <c r="F10" s="6" t="s">
        <v>645</v>
      </c>
      <c r="G10" s="6" t="s">
        <v>315</v>
      </c>
      <c r="H10" s="6">
        <v>85258</v>
      </c>
      <c r="I10" s="6" t="s">
        <v>646</v>
      </c>
      <c r="J10" s="6" t="s">
        <v>268</v>
      </c>
      <c r="K10" s="6" t="s">
        <v>269</v>
      </c>
      <c r="L10" s="12">
        <v>44286</v>
      </c>
      <c r="M10" s="15" t="str">
        <f t="shared" si="0"/>
        <v>03/31/21</v>
      </c>
      <c r="N10" s="6" t="e">
        <v>#REF!</v>
      </c>
      <c r="O10" s="10">
        <f t="shared" si="1"/>
        <v>11801.715</v>
      </c>
      <c r="P10" s="11" t="str">
        <f t="shared" si="2"/>
        <v>$11,801.72</v>
      </c>
      <c r="Q10" s="12">
        <v>44328</v>
      </c>
      <c r="R10" s="4" t="str">
        <f t="shared" si="3"/>
        <v>05/12/21</v>
      </c>
      <c r="S10" t="str">
        <f t="shared" si="4"/>
        <v>PINAL</v>
      </c>
      <c r="T10" s="13" t="str">
        <f t="shared" si="5"/>
        <v>509-92-097</v>
      </c>
      <c r="U10" t="str">
        <f t="shared" si="6"/>
        <v xml:space="preserve">1804 DUNCAN CREEK RD </v>
      </c>
      <c r="V10" t="s">
        <v>484</v>
      </c>
      <c r="W10" t="s">
        <v>301</v>
      </c>
      <c r="X10" t="str">
        <f t="shared" si="7"/>
        <v>98648-6116</v>
      </c>
      <c r="Y10" t="str">
        <f t="shared" si="8"/>
        <v>KENNETH</v>
      </c>
      <c r="Z10" t="str">
        <f t="shared" si="9"/>
        <v>BETHUNE</v>
      </c>
      <c r="AA10" t="str">
        <f t="shared" si="10"/>
        <v>LOT 097 LAS MONTANAS UNIT 2 CAB G SLD 074 SEC 29 05S-07E 1.25 AC</v>
      </c>
      <c r="AB10">
        <f t="shared" si="11"/>
        <v>1.25</v>
      </c>
      <c r="AC10" t="str">
        <f t="shared" si="12"/>
        <v>PINAL</v>
      </c>
      <c r="AD10" s="6" t="str">
        <f t="shared" si="13"/>
        <v>85118</v>
      </c>
      <c r="AE10">
        <f t="shared" si="14"/>
        <v>9394.4</v>
      </c>
      <c r="AF10" s="28">
        <v>93944</v>
      </c>
      <c r="AG10" s="29">
        <v>0.1</v>
      </c>
      <c r="AH10" s="6">
        <v>5.0000000000000001E-3</v>
      </c>
      <c r="AI10">
        <f t="shared" si="15"/>
        <v>1.25</v>
      </c>
      <c r="AO10" t="s">
        <v>474</v>
      </c>
      <c r="AP10" t="s">
        <v>475</v>
      </c>
      <c r="AQ10" t="s">
        <v>475</v>
      </c>
      <c r="AR10" t="s">
        <v>476</v>
      </c>
      <c r="AS10" t="s">
        <v>270</v>
      </c>
      <c r="AT10">
        <v>3</v>
      </c>
      <c r="AU10" t="s">
        <v>477</v>
      </c>
      <c r="AV10" t="s">
        <v>478</v>
      </c>
      <c r="AW10" t="s">
        <v>478</v>
      </c>
      <c r="AX10" t="s">
        <v>476</v>
      </c>
      <c r="AY10" t="s">
        <v>270</v>
      </c>
      <c r="AZ10">
        <v>3</v>
      </c>
      <c r="BC10" t="s">
        <v>479</v>
      </c>
      <c r="BD10" t="s">
        <v>480</v>
      </c>
      <c r="BE10" t="s">
        <v>282</v>
      </c>
      <c r="BF10" t="s">
        <v>379</v>
      </c>
      <c r="BH10" t="s">
        <v>271</v>
      </c>
      <c r="BJ10" t="s">
        <v>296</v>
      </c>
      <c r="BK10">
        <v>9279</v>
      </c>
      <c r="BN10" t="s">
        <v>382</v>
      </c>
      <c r="BS10" t="s">
        <v>315</v>
      </c>
      <c r="BV10" t="s">
        <v>316</v>
      </c>
      <c r="BX10" t="s">
        <v>481</v>
      </c>
      <c r="BY10" t="s">
        <v>482</v>
      </c>
      <c r="CA10">
        <v>1804</v>
      </c>
      <c r="CD10" t="s">
        <v>483</v>
      </c>
      <c r="CE10" t="s">
        <v>283</v>
      </c>
      <c r="CG10" t="s">
        <v>484</v>
      </c>
      <c r="CI10" t="s">
        <v>301</v>
      </c>
      <c r="CJ10" t="str">
        <f>"98648-6116"</f>
        <v>98648-6116</v>
      </c>
      <c r="CK10" t="s">
        <v>284</v>
      </c>
      <c r="CL10" t="s">
        <v>485</v>
      </c>
      <c r="CM10" t="s">
        <v>486</v>
      </c>
      <c r="CN10" t="s">
        <v>274</v>
      </c>
      <c r="CO10" t="s">
        <v>487</v>
      </c>
      <c r="CP10" t="str">
        <f>"509-92-097"</f>
        <v>509-92-097</v>
      </c>
      <c r="CQ10" t="str">
        <f>"50992097"</f>
        <v>50992097</v>
      </c>
      <c r="CR10" t="str">
        <f>""</f>
        <v/>
      </c>
      <c r="CS10">
        <v>4021</v>
      </c>
      <c r="CX10" t="s">
        <v>347</v>
      </c>
      <c r="CY10" t="s">
        <v>330</v>
      </c>
      <c r="CZ10">
        <v>29</v>
      </c>
      <c r="DB10">
        <v>32.959573381080602</v>
      </c>
      <c r="DC10">
        <v>-111.666936604273</v>
      </c>
      <c r="DD10" t="s">
        <v>390</v>
      </c>
      <c r="DI10" t="s">
        <v>391</v>
      </c>
      <c r="DK10" t="s">
        <v>392</v>
      </c>
      <c r="DO10" t="str">
        <f>"97"</f>
        <v>97</v>
      </c>
      <c r="DQ10">
        <v>0</v>
      </c>
      <c r="DR10">
        <v>0</v>
      </c>
      <c r="DS10">
        <v>0</v>
      </c>
      <c r="DT10">
        <v>0</v>
      </c>
      <c r="DW10">
        <v>0</v>
      </c>
      <c r="DX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L10">
        <v>0</v>
      </c>
      <c r="EN10">
        <v>0</v>
      </c>
      <c r="EP10">
        <v>0</v>
      </c>
      <c r="ER10">
        <v>0</v>
      </c>
      <c r="ET10">
        <v>0</v>
      </c>
      <c r="EY10">
        <v>0</v>
      </c>
      <c r="FA10">
        <v>0</v>
      </c>
      <c r="FL10">
        <v>0</v>
      </c>
      <c r="FO10" s="3">
        <v>1</v>
      </c>
      <c r="FQ10" t="s">
        <v>317</v>
      </c>
      <c r="FR10" t="s">
        <v>370</v>
      </c>
      <c r="FS10" t="s">
        <v>371</v>
      </c>
      <c r="FU10">
        <v>54450</v>
      </c>
      <c r="FV10">
        <v>1.25</v>
      </c>
      <c r="FW10">
        <v>0</v>
      </c>
      <c r="FX10">
        <v>0</v>
      </c>
      <c r="FY10">
        <v>0</v>
      </c>
      <c r="FZ10">
        <v>0</v>
      </c>
      <c r="GI10" t="s">
        <v>275</v>
      </c>
      <c r="GJ10" t="s">
        <v>357</v>
      </c>
      <c r="GK10" t="s">
        <v>358</v>
      </c>
      <c r="GL10" s="1">
        <v>39420</v>
      </c>
      <c r="GM10" t="s">
        <v>320</v>
      </c>
      <c r="GN10" t="str">
        <f t="shared" si="16"/>
        <v>FALSE</v>
      </c>
      <c r="GO10">
        <v>2021</v>
      </c>
      <c r="GQ10">
        <v>2100</v>
      </c>
      <c r="GR10" t="s">
        <v>276</v>
      </c>
      <c r="GS10" t="s">
        <v>276</v>
      </c>
      <c r="GT10" t="s">
        <v>276</v>
      </c>
      <c r="GU10" t="s">
        <v>276</v>
      </c>
      <c r="GV10" t="s">
        <v>276</v>
      </c>
      <c r="GW10" t="s">
        <v>276</v>
      </c>
      <c r="GX10" t="s">
        <v>276</v>
      </c>
      <c r="GY10" t="s">
        <v>276</v>
      </c>
      <c r="GZ10" t="s">
        <v>276</v>
      </c>
      <c r="HA10" t="s">
        <v>276</v>
      </c>
      <c r="HB10" t="s">
        <v>276</v>
      </c>
      <c r="HC10" t="s">
        <v>276</v>
      </c>
      <c r="HD10" t="s">
        <v>276</v>
      </c>
      <c r="HE10" s="2">
        <v>0</v>
      </c>
      <c r="HF10" s="2">
        <v>0</v>
      </c>
      <c r="HG10" s="2">
        <v>0</v>
      </c>
      <c r="HH10">
        <v>0</v>
      </c>
      <c r="HI10" s="7">
        <v>79226</v>
      </c>
      <c r="HJ10" s="8">
        <v>79226</v>
      </c>
      <c r="HK10" s="8">
        <v>0</v>
      </c>
      <c r="HL10">
        <v>0</v>
      </c>
      <c r="HM10" s="2">
        <v>0</v>
      </c>
      <c r="HN10" s="2">
        <v>0</v>
      </c>
      <c r="HO10" s="2">
        <v>0</v>
      </c>
      <c r="HP10">
        <v>0</v>
      </c>
      <c r="HS10" s="2">
        <v>79226</v>
      </c>
      <c r="HV10" t="s">
        <v>333</v>
      </c>
      <c r="HY10" t="s">
        <v>334</v>
      </c>
      <c r="HZ10" t="s">
        <v>335</v>
      </c>
      <c r="IA10" t="s">
        <v>336</v>
      </c>
      <c r="IF10" t="str">
        <f>""</f>
        <v/>
      </c>
      <c r="IG10" t="str">
        <f>""</f>
        <v/>
      </c>
      <c r="IH10" s="1">
        <v>39042</v>
      </c>
      <c r="II10" s="1">
        <v>39493</v>
      </c>
      <c r="IJ10" s="30">
        <v>160000</v>
      </c>
      <c r="IK10" t="s">
        <v>306</v>
      </c>
      <c r="IL10" t="s">
        <v>286</v>
      </c>
      <c r="IM10" t="s">
        <v>408</v>
      </c>
      <c r="IO10" s="2">
        <v>120000</v>
      </c>
      <c r="IP10" t="s">
        <v>289</v>
      </c>
      <c r="IR10" t="s">
        <v>337</v>
      </c>
      <c r="IS10" t="str">
        <f>"2008.14677"</f>
        <v>2008.14677</v>
      </c>
      <c r="IX10" t="str">
        <f>"                    "</f>
        <v xml:space="preserve">                    </v>
      </c>
      <c r="IY10" t="s">
        <v>366</v>
      </c>
      <c r="IZ10" t="s">
        <v>360</v>
      </c>
      <c r="JA10" t="s">
        <v>277</v>
      </c>
      <c r="JC10" t="str">
        <f>"2008.14676"</f>
        <v>2008.14676</v>
      </c>
      <c r="JM10" t="str">
        <f>""</f>
        <v/>
      </c>
      <c r="JN10" t="str">
        <f>HYPERLINK("https://web.datatree.com/?/property?propertyId=6894272")</f>
        <v>https://web.datatree.com/?/property?propertyId=6894272</v>
      </c>
    </row>
    <row r="11" spans="1:274" x14ac:dyDescent="0.25">
      <c r="B11" s="6" t="s">
        <v>265</v>
      </c>
      <c r="C11" s="6" t="s">
        <v>266</v>
      </c>
      <c r="D11" s="6" t="s">
        <v>267</v>
      </c>
      <c r="E11" s="6" t="s">
        <v>644</v>
      </c>
      <c r="F11" s="6" t="s">
        <v>645</v>
      </c>
      <c r="G11" s="6" t="s">
        <v>315</v>
      </c>
      <c r="H11" s="6">
        <v>85258</v>
      </c>
      <c r="I11" s="6" t="s">
        <v>646</v>
      </c>
      <c r="J11" s="6" t="s">
        <v>268</v>
      </c>
      <c r="K11" s="6" t="s">
        <v>269</v>
      </c>
      <c r="L11" s="12">
        <v>44286</v>
      </c>
      <c r="M11" s="15" t="str">
        <f t="shared" si="0"/>
        <v>03/31/21</v>
      </c>
      <c r="N11" s="6" t="e">
        <v>#REF!</v>
      </c>
      <c r="O11" s="10">
        <f t="shared" si="1"/>
        <v>11801.715</v>
      </c>
      <c r="P11" s="11" t="str">
        <f t="shared" si="2"/>
        <v>$11,801.72</v>
      </c>
      <c r="Q11" s="12">
        <v>44328</v>
      </c>
      <c r="R11" s="4" t="str">
        <f t="shared" si="3"/>
        <v>05/12/21</v>
      </c>
      <c r="S11" t="str">
        <f t="shared" si="4"/>
        <v>PINAL</v>
      </c>
      <c r="T11" s="13" t="str">
        <f t="shared" si="5"/>
        <v>509-02-032H</v>
      </c>
      <c r="U11" t="str">
        <f t="shared" si="6"/>
        <v xml:space="preserve">6646 W 900 S </v>
      </c>
      <c r="V11" t="s">
        <v>597</v>
      </c>
      <c r="W11" t="s">
        <v>490</v>
      </c>
      <c r="X11" t="str">
        <f t="shared" si="7"/>
        <v>47874-7112</v>
      </c>
      <c r="Y11" t="str">
        <f t="shared" si="8"/>
        <v>LARRY</v>
      </c>
      <c r="Z11" t="str">
        <f t="shared" si="9"/>
        <v>BARSCH</v>
      </c>
      <c r="AA11" t="str">
        <f t="shared" si="10"/>
        <v>BONANZA HIGHLANDS AMD E2 OF N2 OF W2 OF NE PCL 30 SEC 36 T3S R7E  AKA LOT 2 SURVEY BK 18 PG 25  1.25 AC</v>
      </c>
      <c r="AB11">
        <f t="shared" si="11"/>
        <v>1.25</v>
      </c>
      <c r="AC11" t="str">
        <f t="shared" si="12"/>
        <v>PINAL</v>
      </c>
      <c r="AD11" s="6" t="str">
        <f t="shared" si="13"/>
        <v>85118</v>
      </c>
      <c r="AE11">
        <f t="shared" si="14"/>
        <v>9394.4</v>
      </c>
      <c r="AF11" s="28">
        <v>93944</v>
      </c>
      <c r="AG11" s="29">
        <v>0.1</v>
      </c>
      <c r="AH11" s="6">
        <v>5.0000000000000001E-3</v>
      </c>
      <c r="AI11">
        <f t="shared" si="15"/>
        <v>1.25</v>
      </c>
      <c r="AO11" t="s">
        <v>589</v>
      </c>
      <c r="AP11" t="s">
        <v>590</v>
      </c>
      <c r="AQ11" t="s">
        <v>591</v>
      </c>
      <c r="AR11" t="s">
        <v>592</v>
      </c>
      <c r="AS11" t="s">
        <v>270</v>
      </c>
      <c r="AT11">
        <v>13</v>
      </c>
      <c r="AU11" t="s">
        <v>593</v>
      </c>
      <c r="AV11" t="s">
        <v>594</v>
      </c>
      <c r="AW11" t="s">
        <v>410</v>
      </c>
      <c r="AX11" t="s">
        <v>592</v>
      </c>
      <c r="AY11" t="s">
        <v>270</v>
      </c>
      <c r="AZ11">
        <v>10</v>
      </c>
      <c r="BC11" t="s">
        <v>595</v>
      </c>
      <c r="BD11" t="s">
        <v>596</v>
      </c>
      <c r="BE11" t="s">
        <v>282</v>
      </c>
      <c r="BF11" t="s">
        <v>379</v>
      </c>
      <c r="BH11" t="s">
        <v>288</v>
      </c>
      <c r="BI11" t="s">
        <v>285</v>
      </c>
      <c r="BS11" t="s">
        <v>315</v>
      </c>
      <c r="BV11" t="s">
        <v>316</v>
      </c>
      <c r="BY11" t="s">
        <v>380</v>
      </c>
      <c r="BZ11" t="s">
        <v>296</v>
      </c>
      <c r="CA11">
        <v>6646</v>
      </c>
      <c r="CC11" t="s">
        <v>294</v>
      </c>
      <c r="CD11">
        <v>900</v>
      </c>
      <c r="CG11" t="s">
        <v>597</v>
      </c>
      <c r="CI11" t="s">
        <v>490</v>
      </c>
      <c r="CJ11" t="str">
        <f>"47874-7112"</f>
        <v>47874-7112</v>
      </c>
      <c r="CK11" t="s">
        <v>284</v>
      </c>
      <c r="CL11" t="s">
        <v>598</v>
      </c>
      <c r="CM11" t="s">
        <v>599</v>
      </c>
      <c r="CN11" t="s">
        <v>274</v>
      </c>
      <c r="CO11" t="s">
        <v>600</v>
      </c>
      <c r="CP11" t="str">
        <f>"509-02-032H"</f>
        <v>509-02-032H</v>
      </c>
      <c r="CQ11" t="str">
        <f>"50902032H"</f>
        <v>50902032H</v>
      </c>
      <c r="CR11" t="str">
        <f>""</f>
        <v/>
      </c>
      <c r="CS11">
        <v>4021</v>
      </c>
      <c r="CX11" t="s">
        <v>329</v>
      </c>
      <c r="CY11" t="s">
        <v>330</v>
      </c>
      <c r="CZ11">
        <v>36</v>
      </c>
      <c r="DB11">
        <v>33.132220013507599</v>
      </c>
      <c r="DC11">
        <v>-111.583729728891</v>
      </c>
      <c r="DD11" t="s">
        <v>491</v>
      </c>
      <c r="DK11" t="s">
        <v>398</v>
      </c>
      <c r="DM11">
        <v>18</v>
      </c>
      <c r="DN11">
        <v>25</v>
      </c>
      <c r="DO11" t="str">
        <f>"2"</f>
        <v>2</v>
      </c>
      <c r="DQ11">
        <v>0</v>
      </c>
      <c r="DR11">
        <v>0</v>
      </c>
      <c r="DS11">
        <v>0</v>
      </c>
      <c r="DT11">
        <v>0</v>
      </c>
      <c r="DW11">
        <v>0</v>
      </c>
      <c r="DX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L11">
        <v>0</v>
      </c>
      <c r="EN11">
        <v>0</v>
      </c>
      <c r="EP11">
        <v>0</v>
      </c>
      <c r="ER11">
        <v>0</v>
      </c>
      <c r="ET11">
        <v>0</v>
      </c>
      <c r="EY11">
        <v>0</v>
      </c>
      <c r="FA11">
        <v>0</v>
      </c>
      <c r="FL11">
        <v>0</v>
      </c>
      <c r="FO11" s="3">
        <v>1</v>
      </c>
      <c r="FQ11" t="s">
        <v>317</v>
      </c>
      <c r="FR11" t="s">
        <v>436</v>
      </c>
      <c r="FS11" t="s">
        <v>319</v>
      </c>
      <c r="FU11">
        <v>54450</v>
      </c>
      <c r="FV11">
        <v>1.25</v>
      </c>
      <c r="FW11">
        <v>0</v>
      </c>
      <c r="FX11">
        <v>0</v>
      </c>
      <c r="FY11">
        <v>0</v>
      </c>
      <c r="FZ11">
        <v>0</v>
      </c>
      <c r="GI11" t="s">
        <v>275</v>
      </c>
      <c r="GJ11" t="s">
        <v>331</v>
      </c>
      <c r="GK11" t="s">
        <v>332</v>
      </c>
      <c r="GL11" s="1">
        <v>39420</v>
      </c>
      <c r="GM11" t="s">
        <v>320</v>
      </c>
      <c r="GN11" t="str">
        <f t="shared" si="16"/>
        <v>FALSE</v>
      </c>
      <c r="GO11">
        <v>2021</v>
      </c>
      <c r="GP11">
        <v>2020</v>
      </c>
      <c r="GQ11">
        <v>162</v>
      </c>
      <c r="GR11" t="s">
        <v>276</v>
      </c>
      <c r="GS11" t="s">
        <v>276</v>
      </c>
      <c r="GT11" t="s">
        <v>276</v>
      </c>
      <c r="GU11" t="s">
        <v>276</v>
      </c>
      <c r="GV11" t="s">
        <v>276</v>
      </c>
      <c r="GW11" t="s">
        <v>276</v>
      </c>
      <c r="GX11" t="s">
        <v>276</v>
      </c>
      <c r="GY11" t="s">
        <v>276</v>
      </c>
      <c r="GZ11" t="s">
        <v>276</v>
      </c>
      <c r="HA11" t="s">
        <v>276</v>
      </c>
      <c r="HB11" t="s">
        <v>276</v>
      </c>
      <c r="HC11" t="s">
        <v>276</v>
      </c>
      <c r="HD11" t="s">
        <v>276</v>
      </c>
      <c r="HE11" s="2">
        <v>0</v>
      </c>
      <c r="HF11" s="2">
        <v>0</v>
      </c>
      <c r="HG11" s="2">
        <v>0</v>
      </c>
      <c r="HH11">
        <v>0</v>
      </c>
      <c r="HI11" s="7">
        <v>51801</v>
      </c>
      <c r="HJ11" s="8">
        <v>51801</v>
      </c>
      <c r="HK11" s="8">
        <v>0</v>
      </c>
      <c r="HL11">
        <v>0</v>
      </c>
      <c r="HM11" s="2">
        <v>0</v>
      </c>
      <c r="HN11" s="2">
        <v>0</v>
      </c>
      <c r="HO11" s="2">
        <v>0</v>
      </c>
      <c r="HP11">
        <v>0</v>
      </c>
      <c r="HQ11" s="2">
        <v>290.60000000000002</v>
      </c>
      <c r="HS11" s="2">
        <v>51801</v>
      </c>
      <c r="HV11" t="s">
        <v>333</v>
      </c>
      <c r="HY11" t="s">
        <v>334</v>
      </c>
      <c r="HZ11" t="s">
        <v>335</v>
      </c>
      <c r="IA11" t="s">
        <v>336</v>
      </c>
      <c r="IF11" t="str">
        <f>""</f>
        <v/>
      </c>
      <c r="IG11" t="str">
        <f>""</f>
        <v/>
      </c>
      <c r="IH11" s="1">
        <v>40278</v>
      </c>
      <c r="II11" s="1">
        <v>40284</v>
      </c>
      <c r="IJ11" s="30">
        <v>49900</v>
      </c>
      <c r="IK11" t="s">
        <v>306</v>
      </c>
      <c r="IL11" t="s">
        <v>308</v>
      </c>
      <c r="IM11" t="s">
        <v>601</v>
      </c>
      <c r="IS11" t="str">
        <f>"                    "</f>
        <v xml:space="preserve">                    </v>
      </c>
      <c r="IX11" t="str">
        <f>"                    "</f>
        <v xml:space="preserve">                    </v>
      </c>
      <c r="IZ11" t="s">
        <v>602</v>
      </c>
      <c r="JA11" t="s">
        <v>277</v>
      </c>
      <c r="JC11" t="str">
        <f>"2010.36081"</f>
        <v>2010.36081</v>
      </c>
      <c r="JM11" t="str">
        <f>""</f>
        <v/>
      </c>
      <c r="JN11" t="str">
        <f>HYPERLINK("https://web.datatree.com/?/property?propertyId=5793346")</f>
        <v>https://web.datatree.com/?/property?propertyId=5793346</v>
      </c>
    </row>
    <row r="12" spans="1:274" x14ac:dyDescent="0.25">
      <c r="B12" s="6" t="s">
        <v>265</v>
      </c>
      <c r="C12" s="6" t="s">
        <v>266</v>
      </c>
      <c r="D12" s="6" t="s">
        <v>267</v>
      </c>
      <c r="E12" s="6" t="s">
        <v>644</v>
      </c>
      <c r="F12" s="6" t="s">
        <v>645</v>
      </c>
      <c r="G12" s="6" t="s">
        <v>315</v>
      </c>
      <c r="H12" s="6">
        <v>85258</v>
      </c>
      <c r="I12" s="6" t="s">
        <v>646</v>
      </c>
      <c r="J12" s="6" t="s">
        <v>268</v>
      </c>
      <c r="K12" s="6" t="s">
        <v>269</v>
      </c>
      <c r="L12" s="12">
        <v>44286</v>
      </c>
      <c r="M12" s="15" t="str">
        <f t="shared" si="0"/>
        <v>03/31/21</v>
      </c>
      <c r="N12" s="6" t="e">
        <v>#REF!</v>
      </c>
      <c r="O12" s="10">
        <f t="shared" si="1"/>
        <v>11801.715</v>
      </c>
      <c r="P12" s="11" t="str">
        <f t="shared" si="2"/>
        <v>$11,801.72</v>
      </c>
      <c r="Q12" s="12">
        <v>44328</v>
      </c>
      <c r="R12" s="4" t="str">
        <f t="shared" si="3"/>
        <v>05/12/21</v>
      </c>
      <c r="S12" t="str">
        <f t="shared" si="4"/>
        <v>PINAL</v>
      </c>
      <c r="T12" s="13" t="str">
        <f t="shared" si="5"/>
        <v>509-19-017M</v>
      </c>
      <c r="U12" t="str">
        <f t="shared" si="6"/>
        <v xml:space="preserve">9913 E MAIN ST #36 </v>
      </c>
      <c r="V12" t="s">
        <v>350</v>
      </c>
      <c r="W12" t="s">
        <v>315</v>
      </c>
      <c r="X12" t="str">
        <f t="shared" si="7"/>
        <v>85207-8937</v>
      </c>
      <c r="Y12" t="str">
        <f t="shared" si="8"/>
        <v>JOSE</v>
      </c>
      <c r="Z12" t="str">
        <f t="shared" si="9"/>
        <v>VERBEECK</v>
      </c>
      <c r="AA12" t="str">
        <f t="shared" si="10"/>
        <v>N1/2 N1/2 W1/2 NW SEC 25 3S 7E OF PARCEL 17 BONANZA HIGHLANDS AM D IN BK 2 OF SURVEYS PG 192   AKA LOT 17 NW1 IN BK 12 OF SURVEYS PG 289  1.25 AC</v>
      </c>
      <c r="AB12">
        <f t="shared" si="11"/>
        <v>1.25</v>
      </c>
      <c r="AC12" t="str">
        <f t="shared" si="12"/>
        <v>PINAL</v>
      </c>
      <c r="AD12" s="6" t="str">
        <f t="shared" si="13"/>
        <v>85118</v>
      </c>
      <c r="AE12">
        <f t="shared" si="14"/>
        <v>9394.4</v>
      </c>
      <c r="AF12" s="28">
        <v>93944</v>
      </c>
      <c r="AG12" s="29">
        <v>0.1</v>
      </c>
      <c r="AH12" s="6">
        <v>5.0000000000000001E-3</v>
      </c>
      <c r="AI12">
        <f t="shared" si="15"/>
        <v>1.25</v>
      </c>
      <c r="AO12" t="s">
        <v>603</v>
      </c>
      <c r="AP12" t="s">
        <v>489</v>
      </c>
      <c r="AQ12" t="s">
        <v>439</v>
      </c>
      <c r="AR12" t="s">
        <v>604</v>
      </c>
      <c r="AS12" t="s">
        <v>270</v>
      </c>
      <c r="AT12">
        <v>2</v>
      </c>
      <c r="AU12" t="s">
        <v>605</v>
      </c>
      <c r="AV12" t="s">
        <v>606</v>
      </c>
      <c r="AW12" t="s">
        <v>607</v>
      </c>
      <c r="AX12" t="s">
        <v>608</v>
      </c>
      <c r="AY12" t="s">
        <v>270</v>
      </c>
      <c r="AZ12">
        <v>1</v>
      </c>
      <c r="BC12" t="s">
        <v>609</v>
      </c>
      <c r="BD12" t="s">
        <v>610</v>
      </c>
      <c r="BE12" t="s">
        <v>282</v>
      </c>
      <c r="BF12" t="s">
        <v>368</v>
      </c>
      <c r="BH12" t="s">
        <v>288</v>
      </c>
      <c r="BS12" t="s">
        <v>315</v>
      </c>
      <c r="BV12" t="s">
        <v>316</v>
      </c>
      <c r="BY12" t="s">
        <v>380</v>
      </c>
      <c r="BZ12" t="s">
        <v>293</v>
      </c>
      <c r="CA12">
        <v>9913</v>
      </c>
      <c r="CD12" t="s">
        <v>374</v>
      </c>
      <c r="CE12" t="s">
        <v>281</v>
      </c>
      <c r="CF12">
        <v>36</v>
      </c>
      <c r="CG12" t="s">
        <v>350</v>
      </c>
      <c r="CI12" t="s">
        <v>315</v>
      </c>
      <c r="CJ12" t="str">
        <f>"85207-8937"</f>
        <v>85207-8937</v>
      </c>
      <c r="CK12" t="s">
        <v>561</v>
      </c>
      <c r="CL12" t="s">
        <v>611</v>
      </c>
      <c r="CM12" t="s">
        <v>612</v>
      </c>
      <c r="CN12" t="s">
        <v>274</v>
      </c>
      <c r="CO12" t="s">
        <v>613</v>
      </c>
      <c r="CP12" t="str">
        <f>"509-19-017M"</f>
        <v>509-19-017M</v>
      </c>
      <c r="CQ12" t="str">
        <f>"50919017M"</f>
        <v>50919017M</v>
      </c>
      <c r="CR12" t="str">
        <f>""</f>
        <v/>
      </c>
      <c r="CS12">
        <v>4021</v>
      </c>
      <c r="CX12" t="s">
        <v>329</v>
      </c>
      <c r="CY12" t="s">
        <v>330</v>
      </c>
      <c r="CZ12">
        <v>25</v>
      </c>
      <c r="DB12">
        <v>33.1396822262667</v>
      </c>
      <c r="DC12">
        <v>-111.59909713027101</v>
      </c>
      <c r="DD12" t="s">
        <v>340</v>
      </c>
      <c r="DK12" t="s">
        <v>414</v>
      </c>
      <c r="DM12">
        <v>2</v>
      </c>
      <c r="DN12">
        <v>192</v>
      </c>
      <c r="DO12" t="str">
        <f>"17"</f>
        <v>17</v>
      </c>
      <c r="DQ12">
        <v>0</v>
      </c>
      <c r="DR12">
        <v>0</v>
      </c>
      <c r="DS12">
        <v>0</v>
      </c>
      <c r="DT12">
        <v>0</v>
      </c>
      <c r="DW12">
        <v>0</v>
      </c>
      <c r="DX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I12">
        <v>0</v>
      </c>
      <c r="EL12">
        <v>0</v>
      </c>
      <c r="EN12">
        <v>0</v>
      </c>
      <c r="EP12">
        <v>0</v>
      </c>
      <c r="ER12">
        <v>0</v>
      </c>
      <c r="ET12">
        <v>0</v>
      </c>
      <c r="EY12">
        <v>0</v>
      </c>
      <c r="FA12">
        <v>0</v>
      </c>
      <c r="FL12">
        <v>0</v>
      </c>
      <c r="FO12" s="3">
        <v>1</v>
      </c>
      <c r="FQ12" t="s">
        <v>317</v>
      </c>
      <c r="FR12" t="s">
        <v>318</v>
      </c>
      <c r="FS12" t="s">
        <v>319</v>
      </c>
      <c r="FU12">
        <v>54450</v>
      </c>
      <c r="FV12">
        <v>1.25</v>
      </c>
      <c r="FW12">
        <v>0</v>
      </c>
      <c r="FX12">
        <v>0</v>
      </c>
      <c r="FY12">
        <v>0</v>
      </c>
      <c r="FZ12">
        <v>0</v>
      </c>
      <c r="GI12" t="s">
        <v>275</v>
      </c>
      <c r="GJ12" t="s">
        <v>331</v>
      </c>
      <c r="GK12" t="s">
        <v>332</v>
      </c>
      <c r="GL12" s="1">
        <v>39420</v>
      </c>
      <c r="GM12" t="s">
        <v>320</v>
      </c>
      <c r="GN12" t="str">
        <f t="shared" si="16"/>
        <v>FALSE</v>
      </c>
      <c r="GO12">
        <v>2021</v>
      </c>
      <c r="GP12">
        <v>2020</v>
      </c>
      <c r="GQ12">
        <v>163</v>
      </c>
      <c r="GR12" t="s">
        <v>276</v>
      </c>
      <c r="GS12" t="s">
        <v>276</v>
      </c>
      <c r="GT12" t="s">
        <v>276</v>
      </c>
      <c r="GU12" t="s">
        <v>276</v>
      </c>
      <c r="GV12" t="s">
        <v>276</v>
      </c>
      <c r="GW12" t="s">
        <v>276</v>
      </c>
      <c r="GX12" t="s">
        <v>276</v>
      </c>
      <c r="GY12" t="s">
        <v>276</v>
      </c>
      <c r="GZ12" t="s">
        <v>276</v>
      </c>
      <c r="HA12" t="s">
        <v>276</v>
      </c>
      <c r="HB12" t="s">
        <v>276</v>
      </c>
      <c r="HC12" t="s">
        <v>276</v>
      </c>
      <c r="HD12" t="s">
        <v>276</v>
      </c>
      <c r="HE12" s="2">
        <v>0</v>
      </c>
      <c r="HF12" s="2">
        <v>0</v>
      </c>
      <c r="HG12" s="2">
        <v>0</v>
      </c>
      <c r="HH12">
        <v>0</v>
      </c>
      <c r="HI12" s="7">
        <v>51801</v>
      </c>
      <c r="HJ12" s="8">
        <v>51801</v>
      </c>
      <c r="HK12" s="8">
        <v>0</v>
      </c>
      <c r="HL12">
        <v>0</v>
      </c>
      <c r="HM12" s="2">
        <v>0</v>
      </c>
      <c r="HN12" s="2">
        <v>0</v>
      </c>
      <c r="HO12" s="2">
        <v>0</v>
      </c>
      <c r="HP12">
        <v>0</v>
      </c>
      <c r="HQ12" s="2">
        <v>290.60000000000002</v>
      </c>
      <c r="HS12" s="2">
        <v>51801</v>
      </c>
      <c r="HV12" t="s">
        <v>333</v>
      </c>
      <c r="HY12" t="s">
        <v>334</v>
      </c>
      <c r="HZ12" t="s">
        <v>335</v>
      </c>
      <c r="IA12" t="s">
        <v>336</v>
      </c>
      <c r="IB12" s="1">
        <v>42418</v>
      </c>
      <c r="IC12" s="1">
        <v>42457</v>
      </c>
      <c r="IE12" t="s">
        <v>473</v>
      </c>
      <c r="IF12" t="str">
        <f>""</f>
        <v/>
      </c>
      <c r="IG12" t="str">
        <f>"2016.18288"</f>
        <v>2016.18288</v>
      </c>
      <c r="IH12" s="1">
        <v>42418</v>
      </c>
      <c r="II12" s="1">
        <v>42423</v>
      </c>
      <c r="IJ12" s="30">
        <v>33000</v>
      </c>
      <c r="IL12" t="s">
        <v>302</v>
      </c>
      <c r="IM12" t="s">
        <v>614</v>
      </c>
      <c r="IS12" t="str">
        <f>""</f>
        <v/>
      </c>
      <c r="IX12" t="str">
        <f>""</f>
        <v/>
      </c>
      <c r="IZ12" t="s">
        <v>401</v>
      </c>
      <c r="JA12" t="s">
        <v>277</v>
      </c>
      <c r="JC12" t="str">
        <f>"2016.10706"</f>
        <v>2016.10706</v>
      </c>
      <c r="JM12" t="str">
        <f>""</f>
        <v/>
      </c>
      <c r="JN12" t="str">
        <f>HYPERLINK("https://web.datatree.com/?/property?propertyId=6388813")</f>
        <v>https://web.datatree.com/?/property?propertyId=6388813</v>
      </c>
    </row>
    <row r="13" spans="1:274" x14ac:dyDescent="0.25">
      <c r="B13" s="6" t="s">
        <v>265</v>
      </c>
      <c r="C13" s="6" t="s">
        <v>266</v>
      </c>
      <c r="D13" s="6" t="s">
        <v>267</v>
      </c>
      <c r="E13" s="6" t="s">
        <v>644</v>
      </c>
      <c r="F13" s="6" t="s">
        <v>645</v>
      </c>
      <c r="G13" s="6" t="s">
        <v>315</v>
      </c>
      <c r="H13" s="6">
        <v>85258</v>
      </c>
      <c r="I13" s="6" t="s">
        <v>646</v>
      </c>
      <c r="J13" s="6" t="s">
        <v>268</v>
      </c>
      <c r="K13" s="6" t="s">
        <v>269</v>
      </c>
      <c r="L13" s="12">
        <v>44286</v>
      </c>
      <c r="M13" s="15" t="str">
        <f t="shared" si="0"/>
        <v>03/31/21</v>
      </c>
      <c r="N13" s="6" t="e">
        <v>#REF!</v>
      </c>
      <c r="O13" s="10">
        <f t="shared" si="1"/>
        <v>11801.715</v>
      </c>
      <c r="P13" s="11" t="str">
        <f t="shared" si="2"/>
        <v>$11,801.72</v>
      </c>
      <c r="Q13" s="12">
        <v>44328</v>
      </c>
      <c r="R13" s="4" t="str">
        <f t="shared" si="3"/>
        <v>05/12/21</v>
      </c>
      <c r="S13" t="str">
        <f t="shared" si="4"/>
        <v>PINAL</v>
      </c>
      <c r="T13" s="13" t="str">
        <f t="shared" si="5"/>
        <v>104-56-009E</v>
      </c>
      <c r="U13" t="str">
        <f t="shared" si="6"/>
        <v xml:space="preserve">11125 E PLEASANT PL </v>
      </c>
      <c r="V13" t="s">
        <v>395</v>
      </c>
      <c r="W13" t="s">
        <v>315</v>
      </c>
      <c r="X13" t="str">
        <f t="shared" si="7"/>
        <v>85118-6804</v>
      </c>
      <c r="Y13">
        <f t="shared" si="8"/>
        <v>0</v>
      </c>
      <c r="Z13" t="str">
        <f t="shared" si="9"/>
        <v>BEEMAN RAW PROPERTIES LLC</v>
      </c>
      <c r="AA13" t="str">
        <f t="shared" si="10"/>
        <v>BEG @ SW COR OF SW SE NW SE OF SEC 4-02S-10E TH N-332.26 TH E- 32 9.62 TH S-145 TH W-40 TH N-75DE-69.2 TH N-83DE-112.57 TH W-50. 46 TH S-215.44 TH W-60.33 TO POB 1.25 AC</v>
      </c>
      <c r="AB13">
        <f t="shared" si="11"/>
        <v>1.25</v>
      </c>
      <c r="AC13" t="str">
        <f t="shared" si="12"/>
        <v>PINAL</v>
      </c>
      <c r="AD13" s="6" t="str">
        <f t="shared" si="13"/>
        <v>85118</v>
      </c>
      <c r="AE13">
        <f t="shared" si="14"/>
        <v>9394.4</v>
      </c>
      <c r="AF13" s="28">
        <v>93944</v>
      </c>
      <c r="AG13" s="29">
        <v>0.1</v>
      </c>
      <c r="AH13" s="6">
        <v>5.0000000000000001E-3</v>
      </c>
      <c r="AI13">
        <f t="shared" si="15"/>
        <v>1.25</v>
      </c>
      <c r="AO13" t="s">
        <v>420</v>
      </c>
      <c r="AR13" t="s">
        <v>420</v>
      </c>
      <c r="AS13" t="s">
        <v>278</v>
      </c>
      <c r="AT13">
        <v>4</v>
      </c>
      <c r="BC13" t="s">
        <v>420</v>
      </c>
      <c r="BD13" t="s">
        <v>420</v>
      </c>
      <c r="BF13" t="s">
        <v>292</v>
      </c>
      <c r="BH13" t="s">
        <v>271</v>
      </c>
      <c r="BJ13" t="s">
        <v>296</v>
      </c>
      <c r="BN13" t="s">
        <v>421</v>
      </c>
      <c r="BO13" t="s">
        <v>273</v>
      </c>
      <c r="BQ13" t="s">
        <v>395</v>
      </c>
      <c r="BR13" t="s">
        <v>367</v>
      </c>
      <c r="BS13" t="s">
        <v>315</v>
      </c>
      <c r="BT13" t="str">
        <f t="shared" ref="BT13:BU17" si="17">"85118"</f>
        <v>85118</v>
      </c>
      <c r="BU13" t="str">
        <f t="shared" si="17"/>
        <v>85118</v>
      </c>
      <c r="BV13" t="s">
        <v>316</v>
      </c>
      <c r="BX13" t="s">
        <v>422</v>
      </c>
      <c r="BY13" t="s">
        <v>423</v>
      </c>
      <c r="BZ13" t="s">
        <v>293</v>
      </c>
      <c r="CA13">
        <v>11125</v>
      </c>
      <c r="CD13" t="s">
        <v>415</v>
      </c>
      <c r="CE13" t="s">
        <v>356</v>
      </c>
      <c r="CG13" t="s">
        <v>395</v>
      </c>
      <c r="CH13" t="s">
        <v>395</v>
      </c>
      <c r="CI13" t="s">
        <v>315</v>
      </c>
      <c r="CJ13" t="str">
        <f>"85118-6804"</f>
        <v>85118-6804</v>
      </c>
      <c r="CK13" t="s">
        <v>413</v>
      </c>
      <c r="CL13" t="s">
        <v>424</v>
      </c>
      <c r="CM13" t="s">
        <v>425</v>
      </c>
      <c r="CN13" t="s">
        <v>274</v>
      </c>
      <c r="CO13" t="s">
        <v>426</v>
      </c>
      <c r="CP13" t="str">
        <f>"104-56-009E"</f>
        <v>104-56-009E</v>
      </c>
      <c r="CQ13" t="str">
        <f>"10456009E"</f>
        <v>10456009E</v>
      </c>
      <c r="CR13" t="str">
        <f>""</f>
        <v/>
      </c>
      <c r="CS13">
        <v>4021</v>
      </c>
      <c r="CU13">
        <v>201</v>
      </c>
      <c r="CV13">
        <v>1016</v>
      </c>
      <c r="CX13" t="s">
        <v>352</v>
      </c>
      <c r="CY13" t="s">
        <v>399</v>
      </c>
      <c r="CZ13">
        <v>4</v>
      </c>
      <c r="DB13">
        <v>33.283216430109398</v>
      </c>
      <c r="DC13">
        <v>-111.327134043694</v>
      </c>
      <c r="DK13" t="s">
        <v>427</v>
      </c>
      <c r="DO13" t="str">
        <f>""</f>
        <v/>
      </c>
      <c r="DQ13">
        <v>0</v>
      </c>
      <c r="DR13">
        <v>0</v>
      </c>
      <c r="DS13">
        <v>0</v>
      </c>
      <c r="DT13">
        <v>0</v>
      </c>
      <c r="DW13">
        <v>0</v>
      </c>
      <c r="DX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L13">
        <v>0</v>
      </c>
      <c r="EN13">
        <v>0</v>
      </c>
      <c r="EP13">
        <v>0</v>
      </c>
      <c r="ER13">
        <v>0</v>
      </c>
      <c r="ET13">
        <v>0</v>
      </c>
      <c r="EY13">
        <v>0</v>
      </c>
      <c r="FA13">
        <v>0</v>
      </c>
      <c r="FL13">
        <v>0</v>
      </c>
      <c r="FO13" s="3">
        <v>1</v>
      </c>
      <c r="FQ13" t="s">
        <v>317</v>
      </c>
      <c r="FR13" t="s">
        <v>318</v>
      </c>
      <c r="FS13" t="s">
        <v>319</v>
      </c>
      <c r="FU13">
        <v>54450</v>
      </c>
      <c r="FV13">
        <v>1.25</v>
      </c>
      <c r="FW13">
        <v>0</v>
      </c>
      <c r="FX13">
        <v>0</v>
      </c>
      <c r="FY13">
        <v>0</v>
      </c>
      <c r="FZ13">
        <v>0</v>
      </c>
      <c r="GI13" t="s">
        <v>275</v>
      </c>
      <c r="GJ13" t="s">
        <v>428</v>
      </c>
      <c r="GK13" t="s">
        <v>429</v>
      </c>
      <c r="GL13" s="1">
        <v>39420</v>
      </c>
      <c r="GM13" t="s">
        <v>320</v>
      </c>
      <c r="GN13" t="str">
        <f t="shared" si="16"/>
        <v>FALSE</v>
      </c>
      <c r="GO13">
        <v>2021</v>
      </c>
      <c r="GP13">
        <v>2020</v>
      </c>
      <c r="GQ13">
        <v>1511</v>
      </c>
      <c r="GR13" t="s">
        <v>276</v>
      </c>
      <c r="GS13" t="s">
        <v>276</v>
      </c>
      <c r="GT13" t="s">
        <v>276</v>
      </c>
      <c r="GU13" t="s">
        <v>276</v>
      </c>
      <c r="GV13" t="s">
        <v>276</v>
      </c>
      <c r="GW13" t="s">
        <v>276</v>
      </c>
      <c r="GX13" t="s">
        <v>276</v>
      </c>
      <c r="GY13" t="s">
        <v>276</v>
      </c>
      <c r="GZ13" t="s">
        <v>276</v>
      </c>
      <c r="HA13" t="s">
        <v>276</v>
      </c>
      <c r="HB13" t="s">
        <v>276</v>
      </c>
      <c r="HC13" t="s">
        <v>276</v>
      </c>
      <c r="HD13" t="s">
        <v>276</v>
      </c>
      <c r="HE13" s="2">
        <v>0</v>
      </c>
      <c r="HF13" s="2">
        <v>0</v>
      </c>
      <c r="HG13" s="2">
        <v>0</v>
      </c>
      <c r="HH13">
        <v>0</v>
      </c>
      <c r="HI13" s="7">
        <v>11900</v>
      </c>
      <c r="HJ13" s="8">
        <v>11900</v>
      </c>
      <c r="HK13" s="8">
        <v>0</v>
      </c>
      <c r="HL13">
        <v>0</v>
      </c>
      <c r="HM13" s="2">
        <v>0</v>
      </c>
      <c r="HN13" s="2">
        <v>0</v>
      </c>
      <c r="HO13" s="2">
        <v>0</v>
      </c>
      <c r="HP13">
        <v>0</v>
      </c>
      <c r="HQ13" s="2">
        <v>255.78</v>
      </c>
      <c r="HS13" s="2">
        <v>11900</v>
      </c>
      <c r="HV13" t="s">
        <v>430</v>
      </c>
      <c r="HY13" t="s">
        <v>431</v>
      </c>
      <c r="HZ13" t="s">
        <v>432</v>
      </c>
      <c r="IA13" t="s">
        <v>433</v>
      </c>
      <c r="IF13" t="str">
        <f>""</f>
        <v/>
      </c>
      <c r="IG13" t="str">
        <f>""</f>
        <v/>
      </c>
      <c r="IS13" t="str">
        <f>""</f>
        <v/>
      </c>
      <c r="IX13" t="str">
        <f>""</f>
        <v/>
      </c>
      <c r="JA13" t="s">
        <v>277</v>
      </c>
      <c r="JC13" t="str">
        <f>""</f>
        <v/>
      </c>
      <c r="JM13" t="str">
        <f>""</f>
        <v/>
      </c>
      <c r="JN13" t="str">
        <f>HYPERLINK("https://web.datatree.com/?/property?propertyId=6719227")</f>
        <v>https://web.datatree.com/?/property?propertyId=6719227</v>
      </c>
    </row>
    <row r="14" spans="1:274" x14ac:dyDescent="0.25">
      <c r="B14" s="6" t="s">
        <v>265</v>
      </c>
      <c r="C14" s="6" t="s">
        <v>266</v>
      </c>
      <c r="D14" s="6" t="s">
        <v>267</v>
      </c>
      <c r="E14" s="6" t="s">
        <v>644</v>
      </c>
      <c r="F14" s="6" t="s">
        <v>645</v>
      </c>
      <c r="G14" s="6" t="s">
        <v>315</v>
      </c>
      <c r="H14" s="6">
        <v>85258</v>
      </c>
      <c r="I14" s="6" t="s">
        <v>646</v>
      </c>
      <c r="J14" s="6" t="s">
        <v>268</v>
      </c>
      <c r="K14" s="6" t="s">
        <v>269</v>
      </c>
      <c r="L14" s="12">
        <v>44286</v>
      </c>
      <c r="M14" s="15" t="str">
        <f t="shared" si="0"/>
        <v>03/31/21</v>
      </c>
      <c r="N14" s="6" t="e">
        <v>#REF!</v>
      </c>
      <c r="O14" s="10">
        <f t="shared" si="1"/>
        <v>11801.715</v>
      </c>
      <c r="P14" s="11" t="str">
        <f t="shared" si="2"/>
        <v>$11,801.72</v>
      </c>
      <c r="Q14" s="12">
        <v>44328</v>
      </c>
      <c r="R14" s="4" t="str">
        <f t="shared" si="3"/>
        <v>05/12/21</v>
      </c>
      <c r="S14" t="str">
        <f t="shared" si="4"/>
        <v>PINAL</v>
      </c>
      <c r="T14" s="13" t="str">
        <f t="shared" si="5"/>
        <v>104-56-005D</v>
      </c>
      <c r="U14" t="str">
        <f t="shared" si="6"/>
        <v xml:space="preserve">PO BOX 1216 </v>
      </c>
      <c r="V14" t="s">
        <v>324</v>
      </c>
      <c r="W14" t="s">
        <v>315</v>
      </c>
      <c r="X14" t="str">
        <f t="shared" si="7"/>
        <v>85139</v>
      </c>
      <c r="Y14">
        <f t="shared" si="8"/>
        <v>0</v>
      </c>
      <c r="Z14" t="str">
        <f t="shared" si="9"/>
        <v>ZEN FOCUS LLC</v>
      </c>
      <c r="AA14" t="str">
        <f t="shared" si="10"/>
        <v>E1/2 SW NE NW SE OF SEC 4-2S-10E 1.25 AC</v>
      </c>
      <c r="AB14">
        <f t="shared" si="11"/>
        <v>1.25</v>
      </c>
      <c r="AC14" t="str">
        <f t="shared" si="12"/>
        <v>PINAL</v>
      </c>
      <c r="AD14" s="6" t="str">
        <f t="shared" si="13"/>
        <v>85118</v>
      </c>
      <c r="AE14">
        <f t="shared" si="14"/>
        <v>9394.4</v>
      </c>
      <c r="AF14" s="28">
        <v>93944</v>
      </c>
      <c r="AG14" s="29">
        <v>0.1</v>
      </c>
      <c r="AH14" s="6">
        <v>5.0000000000000001E-3</v>
      </c>
      <c r="AI14">
        <f t="shared" si="15"/>
        <v>1.25</v>
      </c>
      <c r="AO14" t="s">
        <v>616</v>
      </c>
      <c r="AR14" t="s">
        <v>616</v>
      </c>
      <c r="AS14" t="s">
        <v>278</v>
      </c>
      <c r="AT14">
        <v>5</v>
      </c>
      <c r="BC14" t="s">
        <v>616</v>
      </c>
      <c r="BD14" t="s">
        <v>616</v>
      </c>
      <c r="BH14" t="s">
        <v>271</v>
      </c>
      <c r="BQ14" t="s">
        <v>461</v>
      </c>
      <c r="BR14" t="s">
        <v>367</v>
      </c>
      <c r="BS14" t="s">
        <v>315</v>
      </c>
      <c r="BT14" t="str">
        <f t="shared" si="17"/>
        <v>85118</v>
      </c>
      <c r="BU14" t="str">
        <f t="shared" si="17"/>
        <v>85118</v>
      </c>
      <c r="BV14" t="s">
        <v>316</v>
      </c>
      <c r="BY14" t="s">
        <v>462</v>
      </c>
      <c r="CD14" t="s">
        <v>617</v>
      </c>
      <c r="CG14" t="s">
        <v>324</v>
      </c>
      <c r="CH14" t="s">
        <v>324</v>
      </c>
      <c r="CI14" t="s">
        <v>315</v>
      </c>
      <c r="CJ14" t="str">
        <f>"85139"</f>
        <v>85139</v>
      </c>
      <c r="CK14" t="s">
        <v>615</v>
      </c>
      <c r="CL14" t="s">
        <v>618</v>
      </c>
      <c r="CM14" t="s">
        <v>619</v>
      </c>
      <c r="CN14" t="s">
        <v>274</v>
      </c>
      <c r="CO14" t="s">
        <v>620</v>
      </c>
      <c r="CP14" t="str">
        <f>"104-56-005D"</f>
        <v>104-56-005D</v>
      </c>
      <c r="CQ14" t="str">
        <f>"10456005D"</f>
        <v>10456005D</v>
      </c>
      <c r="CR14" t="str">
        <f>""</f>
        <v/>
      </c>
      <c r="CS14">
        <v>4021</v>
      </c>
      <c r="CU14">
        <v>201</v>
      </c>
      <c r="CV14">
        <v>1016</v>
      </c>
      <c r="CX14" t="s">
        <v>352</v>
      </c>
      <c r="CY14" t="s">
        <v>399</v>
      </c>
      <c r="CZ14">
        <v>4</v>
      </c>
      <c r="DB14">
        <v>33.284871710391499</v>
      </c>
      <c r="DC14">
        <v>-111.32681112658101</v>
      </c>
      <c r="DK14" t="s">
        <v>427</v>
      </c>
      <c r="DO14" t="str">
        <f>""</f>
        <v/>
      </c>
      <c r="DQ14">
        <v>0</v>
      </c>
      <c r="DR14">
        <v>0</v>
      </c>
      <c r="DS14">
        <v>0</v>
      </c>
      <c r="DT14">
        <v>0</v>
      </c>
      <c r="DW14">
        <v>0</v>
      </c>
      <c r="DX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L14">
        <v>0</v>
      </c>
      <c r="EN14">
        <v>0</v>
      </c>
      <c r="EP14">
        <v>0</v>
      </c>
      <c r="ER14">
        <v>0</v>
      </c>
      <c r="ET14">
        <v>0</v>
      </c>
      <c r="EY14">
        <v>0</v>
      </c>
      <c r="FA14">
        <v>0</v>
      </c>
      <c r="FL14">
        <v>0</v>
      </c>
      <c r="FO14" s="3">
        <v>1</v>
      </c>
      <c r="FQ14" t="s">
        <v>317</v>
      </c>
      <c r="FR14" t="s">
        <v>318</v>
      </c>
      <c r="FS14" t="s">
        <v>319</v>
      </c>
      <c r="FU14">
        <v>54450</v>
      </c>
      <c r="FV14">
        <v>1.25</v>
      </c>
      <c r="FW14">
        <v>0</v>
      </c>
      <c r="FX14">
        <v>0</v>
      </c>
      <c r="FY14">
        <v>0</v>
      </c>
      <c r="FZ14">
        <v>0</v>
      </c>
      <c r="GI14" t="s">
        <v>275</v>
      </c>
      <c r="GJ14" t="s">
        <v>428</v>
      </c>
      <c r="GK14" t="s">
        <v>429</v>
      </c>
      <c r="GL14" s="1">
        <v>39420</v>
      </c>
      <c r="GM14" t="s">
        <v>320</v>
      </c>
      <c r="GN14" t="str">
        <f t="shared" si="16"/>
        <v>FALSE</v>
      </c>
      <c r="GO14">
        <v>2021</v>
      </c>
      <c r="GP14">
        <v>2020</v>
      </c>
      <c r="GQ14">
        <v>1511</v>
      </c>
      <c r="GR14" t="s">
        <v>276</v>
      </c>
      <c r="GS14" t="s">
        <v>276</v>
      </c>
      <c r="GT14" t="s">
        <v>276</v>
      </c>
      <c r="GU14" t="s">
        <v>276</v>
      </c>
      <c r="GV14" t="s">
        <v>276</v>
      </c>
      <c r="GW14" t="s">
        <v>276</v>
      </c>
      <c r="GX14" t="s">
        <v>276</v>
      </c>
      <c r="GY14" t="s">
        <v>276</v>
      </c>
      <c r="GZ14" t="s">
        <v>276</v>
      </c>
      <c r="HA14" t="s">
        <v>276</v>
      </c>
      <c r="HB14" t="s">
        <v>276</v>
      </c>
      <c r="HC14" t="s">
        <v>276</v>
      </c>
      <c r="HD14" t="s">
        <v>276</v>
      </c>
      <c r="HE14" s="2">
        <v>0</v>
      </c>
      <c r="HF14" s="2">
        <v>0</v>
      </c>
      <c r="HG14" s="2">
        <v>0</v>
      </c>
      <c r="HH14">
        <v>0</v>
      </c>
      <c r="HI14" s="7">
        <v>11900</v>
      </c>
      <c r="HJ14" s="8">
        <v>11900</v>
      </c>
      <c r="HK14" s="8">
        <v>0</v>
      </c>
      <c r="HL14">
        <v>0</v>
      </c>
      <c r="HM14" s="2">
        <v>0</v>
      </c>
      <c r="HN14" s="2">
        <v>0</v>
      </c>
      <c r="HO14" s="2">
        <v>0</v>
      </c>
      <c r="HP14">
        <v>0</v>
      </c>
      <c r="HQ14" s="2">
        <v>255.78</v>
      </c>
      <c r="HS14" s="2">
        <v>11900</v>
      </c>
      <c r="HV14" t="s">
        <v>430</v>
      </c>
      <c r="HY14" t="s">
        <v>431</v>
      </c>
      <c r="HZ14" t="s">
        <v>432</v>
      </c>
      <c r="IA14" t="s">
        <v>433</v>
      </c>
      <c r="IF14" t="str">
        <f>""</f>
        <v/>
      </c>
      <c r="IG14" t="str">
        <f>""</f>
        <v/>
      </c>
      <c r="IH14" s="1">
        <v>43871</v>
      </c>
      <c r="II14" s="1">
        <v>43875</v>
      </c>
      <c r="IJ14" s="30">
        <v>37000</v>
      </c>
      <c r="IK14" t="s">
        <v>306</v>
      </c>
      <c r="IL14" t="s">
        <v>302</v>
      </c>
      <c r="IM14" t="s">
        <v>621</v>
      </c>
      <c r="IS14" t="str">
        <f>""</f>
        <v/>
      </c>
      <c r="IX14" t="str">
        <f>""</f>
        <v/>
      </c>
      <c r="IZ14" t="s">
        <v>400</v>
      </c>
      <c r="JA14" t="s">
        <v>277</v>
      </c>
      <c r="JC14" t="str">
        <f>"2020.13740"</f>
        <v>2020.13740</v>
      </c>
      <c r="JD14" s="1">
        <v>32198</v>
      </c>
      <c r="JE14" s="1">
        <v>32199</v>
      </c>
      <c r="JF14" s="2">
        <v>14500</v>
      </c>
      <c r="JI14" s="2">
        <v>0</v>
      </c>
      <c r="JM14" t="str">
        <f>"1508.732"</f>
        <v>1508.732</v>
      </c>
      <c r="JN14" t="str">
        <f>HYPERLINK("https://web.datatree.com/?/property?propertyId=7067796")</f>
        <v>https://web.datatree.com/?/property?propertyId=7067796</v>
      </c>
    </row>
    <row r="15" spans="1:274" x14ac:dyDescent="0.25">
      <c r="B15" s="6" t="s">
        <v>265</v>
      </c>
      <c r="C15" s="6" t="s">
        <v>266</v>
      </c>
      <c r="D15" s="6" t="s">
        <v>267</v>
      </c>
      <c r="E15" s="6" t="s">
        <v>644</v>
      </c>
      <c r="F15" s="6" t="s">
        <v>645</v>
      </c>
      <c r="G15" s="6" t="s">
        <v>315</v>
      </c>
      <c r="H15" s="6">
        <v>85258</v>
      </c>
      <c r="I15" s="6" t="s">
        <v>646</v>
      </c>
      <c r="J15" s="6" t="s">
        <v>268</v>
      </c>
      <c r="K15" s="6" t="s">
        <v>269</v>
      </c>
      <c r="L15" s="12">
        <v>44286</v>
      </c>
      <c r="M15" s="15" t="str">
        <f t="shared" si="0"/>
        <v>03/31/21</v>
      </c>
      <c r="N15" s="6" t="e">
        <v>#REF!</v>
      </c>
      <c r="O15" s="10">
        <f t="shared" si="1"/>
        <v>11801.715</v>
      </c>
      <c r="P15" s="11" t="str">
        <f t="shared" si="2"/>
        <v>$11,801.72</v>
      </c>
      <c r="Q15" s="12">
        <v>44328</v>
      </c>
      <c r="R15" s="4" t="str">
        <f t="shared" si="3"/>
        <v>05/12/21</v>
      </c>
      <c r="S15" t="str">
        <f t="shared" si="4"/>
        <v>PINAL</v>
      </c>
      <c r="T15" s="13" t="str">
        <f t="shared" si="5"/>
        <v>104-30-017B</v>
      </c>
      <c r="U15" t="str">
        <f t="shared" si="6"/>
        <v xml:space="preserve">13811 S CANYON DR </v>
      </c>
      <c r="V15" t="s">
        <v>338</v>
      </c>
      <c r="W15" t="s">
        <v>315</v>
      </c>
      <c r="X15" t="str">
        <f t="shared" si="7"/>
        <v>85048-9084</v>
      </c>
      <c r="Y15" t="str">
        <f t="shared" si="8"/>
        <v>JAMES</v>
      </c>
      <c r="Z15" t="str">
        <f t="shared" si="9"/>
        <v>ATKINSON</v>
      </c>
      <c r="AA15" t="str">
        <f t="shared" si="10"/>
        <v>E1/2 SW NW NE SE OF SEC 4-2S-10E 1.25 AC</v>
      </c>
      <c r="AB15">
        <f t="shared" si="11"/>
        <v>1.25</v>
      </c>
      <c r="AC15" t="str">
        <f t="shared" si="12"/>
        <v>PINAL</v>
      </c>
      <c r="AD15" s="6" t="str">
        <f t="shared" si="13"/>
        <v>85118</v>
      </c>
      <c r="AE15">
        <f t="shared" si="14"/>
        <v>9394.4</v>
      </c>
      <c r="AF15" s="28">
        <v>93944</v>
      </c>
      <c r="AG15" s="29">
        <v>0.1</v>
      </c>
      <c r="AH15" s="6">
        <v>5.0000000000000001E-3</v>
      </c>
      <c r="AI15">
        <f t="shared" si="15"/>
        <v>1.25</v>
      </c>
      <c r="AO15" t="s">
        <v>455</v>
      </c>
      <c r="AP15" t="s">
        <v>327</v>
      </c>
      <c r="AQ15" t="s">
        <v>327</v>
      </c>
      <c r="AR15" t="s">
        <v>456</v>
      </c>
      <c r="AS15" t="s">
        <v>270</v>
      </c>
      <c r="AT15">
        <v>4</v>
      </c>
      <c r="AU15" t="s">
        <v>457</v>
      </c>
      <c r="AV15" t="s">
        <v>458</v>
      </c>
      <c r="AW15" t="s">
        <v>305</v>
      </c>
      <c r="AX15" t="s">
        <v>456</v>
      </c>
      <c r="AY15" t="s">
        <v>270</v>
      </c>
      <c r="AZ15">
        <v>3</v>
      </c>
      <c r="BC15" t="s">
        <v>459</v>
      </c>
      <c r="BD15" t="s">
        <v>460</v>
      </c>
      <c r="BE15" t="s">
        <v>282</v>
      </c>
      <c r="BF15" t="s">
        <v>379</v>
      </c>
      <c r="BH15" t="s">
        <v>288</v>
      </c>
      <c r="BQ15" t="s">
        <v>461</v>
      </c>
      <c r="BR15" t="s">
        <v>367</v>
      </c>
      <c r="BS15" t="s">
        <v>315</v>
      </c>
      <c r="BT15" t="str">
        <f t="shared" si="17"/>
        <v>85118</v>
      </c>
      <c r="BU15" t="str">
        <f t="shared" si="17"/>
        <v>85118</v>
      </c>
      <c r="BV15" t="s">
        <v>316</v>
      </c>
      <c r="BY15" t="s">
        <v>462</v>
      </c>
      <c r="BZ15" t="s">
        <v>294</v>
      </c>
      <c r="CA15">
        <v>13811</v>
      </c>
      <c r="CD15" t="s">
        <v>409</v>
      </c>
      <c r="CE15" t="s">
        <v>273</v>
      </c>
      <c r="CG15" t="s">
        <v>338</v>
      </c>
      <c r="CH15" t="s">
        <v>338</v>
      </c>
      <c r="CI15" t="s">
        <v>315</v>
      </c>
      <c r="CJ15" t="str">
        <f>"85048-9084"</f>
        <v>85048-9084</v>
      </c>
      <c r="CK15" t="s">
        <v>405</v>
      </c>
      <c r="CL15" t="s">
        <v>463</v>
      </c>
      <c r="CM15" t="s">
        <v>464</v>
      </c>
      <c r="CN15" t="s">
        <v>274</v>
      </c>
      <c r="CO15" t="s">
        <v>465</v>
      </c>
      <c r="CP15" t="str">
        <f>"104-30-017B"</f>
        <v>104-30-017B</v>
      </c>
      <c r="CQ15" t="str">
        <f>"10430017B"</f>
        <v>10430017B</v>
      </c>
      <c r="CR15" t="str">
        <f>""</f>
        <v/>
      </c>
      <c r="CS15">
        <v>4021</v>
      </c>
      <c r="CU15">
        <v>201</v>
      </c>
      <c r="CV15">
        <v>1016</v>
      </c>
      <c r="CX15" t="s">
        <v>352</v>
      </c>
      <c r="CY15" t="s">
        <v>399</v>
      </c>
      <c r="CZ15">
        <v>4</v>
      </c>
      <c r="DB15">
        <v>33.284876921188001</v>
      </c>
      <c r="DC15">
        <v>-111.324639016254</v>
      </c>
      <c r="DK15" t="s">
        <v>427</v>
      </c>
      <c r="DO15" t="str">
        <f>""</f>
        <v/>
      </c>
      <c r="DQ15">
        <v>0</v>
      </c>
      <c r="DR15">
        <v>0</v>
      </c>
      <c r="DS15">
        <v>0</v>
      </c>
      <c r="DT15">
        <v>0</v>
      </c>
      <c r="DW15">
        <v>0</v>
      </c>
      <c r="DX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L15">
        <v>0</v>
      </c>
      <c r="EN15">
        <v>0</v>
      </c>
      <c r="EP15">
        <v>0</v>
      </c>
      <c r="ER15">
        <v>0</v>
      </c>
      <c r="ET15">
        <v>0</v>
      </c>
      <c r="EY15">
        <v>0</v>
      </c>
      <c r="FA15">
        <v>0</v>
      </c>
      <c r="FL15">
        <v>0</v>
      </c>
      <c r="FO15" s="3">
        <v>1</v>
      </c>
      <c r="FQ15" t="s">
        <v>317</v>
      </c>
      <c r="FR15" t="s">
        <v>318</v>
      </c>
      <c r="FS15" t="s">
        <v>319</v>
      </c>
      <c r="FU15">
        <v>54450</v>
      </c>
      <c r="FV15">
        <v>1.25</v>
      </c>
      <c r="FW15">
        <v>0</v>
      </c>
      <c r="FX15">
        <v>0</v>
      </c>
      <c r="FY15">
        <v>0</v>
      </c>
      <c r="FZ15">
        <v>0</v>
      </c>
      <c r="GI15" t="s">
        <v>279</v>
      </c>
      <c r="GJ15" t="s">
        <v>428</v>
      </c>
      <c r="GK15" t="s">
        <v>429</v>
      </c>
      <c r="GL15" s="1">
        <v>39420</v>
      </c>
      <c r="GM15" t="s">
        <v>320</v>
      </c>
      <c r="GN15" t="str">
        <f>"TRUE"</f>
        <v>TRUE</v>
      </c>
      <c r="GO15">
        <v>2021</v>
      </c>
      <c r="GP15">
        <v>2020</v>
      </c>
      <c r="GQ15">
        <v>1511</v>
      </c>
      <c r="GR15" t="s">
        <v>276</v>
      </c>
      <c r="GS15" t="s">
        <v>276</v>
      </c>
      <c r="GT15" t="s">
        <v>276</v>
      </c>
      <c r="GU15" t="s">
        <v>276</v>
      </c>
      <c r="GV15" t="s">
        <v>276</v>
      </c>
      <c r="GW15" t="s">
        <v>276</v>
      </c>
      <c r="GX15" t="s">
        <v>276</v>
      </c>
      <c r="GY15" t="s">
        <v>276</v>
      </c>
      <c r="GZ15" t="s">
        <v>276</v>
      </c>
      <c r="HA15" t="s">
        <v>276</v>
      </c>
      <c r="HB15" t="s">
        <v>276</v>
      </c>
      <c r="HC15" t="s">
        <v>276</v>
      </c>
      <c r="HD15" t="s">
        <v>276</v>
      </c>
      <c r="HE15" s="2">
        <v>0</v>
      </c>
      <c r="HF15" s="2">
        <v>0</v>
      </c>
      <c r="HG15" s="2">
        <v>0</v>
      </c>
      <c r="HH15">
        <v>0</v>
      </c>
      <c r="HI15" s="7">
        <v>11900</v>
      </c>
      <c r="HJ15" s="8">
        <v>11900</v>
      </c>
      <c r="HK15" s="8">
        <v>0</v>
      </c>
      <c r="HL15">
        <v>0</v>
      </c>
      <c r="HM15" s="2">
        <v>0</v>
      </c>
      <c r="HN15" s="2">
        <v>0</v>
      </c>
      <c r="HO15" s="2">
        <v>0</v>
      </c>
      <c r="HP15">
        <v>0</v>
      </c>
      <c r="HQ15" s="2">
        <v>255.78</v>
      </c>
      <c r="HS15" s="2">
        <v>11900</v>
      </c>
      <c r="HV15" t="s">
        <v>430</v>
      </c>
      <c r="HY15" t="s">
        <v>431</v>
      </c>
      <c r="HZ15" t="s">
        <v>432</v>
      </c>
      <c r="IA15" t="s">
        <v>433</v>
      </c>
      <c r="IF15" t="str">
        <f>""</f>
        <v/>
      </c>
      <c r="IG15" t="str">
        <f>""</f>
        <v/>
      </c>
      <c r="IH15" s="1">
        <v>42055</v>
      </c>
      <c r="II15" s="1">
        <v>42062</v>
      </c>
      <c r="IJ15" s="30">
        <v>7000</v>
      </c>
      <c r="IL15" t="s">
        <v>302</v>
      </c>
      <c r="IM15" t="s">
        <v>466</v>
      </c>
      <c r="IS15" t="str">
        <f>""</f>
        <v/>
      </c>
      <c r="IX15" t="str">
        <f>""</f>
        <v/>
      </c>
      <c r="IZ15" t="s">
        <v>397</v>
      </c>
      <c r="JA15" t="s">
        <v>277</v>
      </c>
      <c r="JC15" t="str">
        <f>"2015.12065"</f>
        <v>2015.12065</v>
      </c>
      <c r="JD15" s="1">
        <v>40977</v>
      </c>
      <c r="JE15" s="1">
        <v>41012</v>
      </c>
      <c r="JF15" s="2">
        <v>65000</v>
      </c>
      <c r="JG15" t="s">
        <v>308</v>
      </c>
      <c r="JI15" s="2">
        <v>0</v>
      </c>
      <c r="JK15" t="s">
        <v>406</v>
      </c>
      <c r="JM15" t="str">
        <f>"2012.30414"</f>
        <v>2012.30414</v>
      </c>
      <c r="JN15" t="str">
        <f>HYPERLINK("https://web.datatree.com/?/property?propertyId=6778150")</f>
        <v>https://web.datatree.com/?/property?propertyId=6778150</v>
      </c>
    </row>
    <row r="16" spans="1:274" x14ac:dyDescent="0.25">
      <c r="B16" s="6" t="s">
        <v>265</v>
      </c>
      <c r="C16" s="6" t="s">
        <v>266</v>
      </c>
      <c r="D16" s="6" t="s">
        <v>267</v>
      </c>
      <c r="E16" s="6" t="s">
        <v>644</v>
      </c>
      <c r="F16" s="6" t="s">
        <v>645</v>
      </c>
      <c r="G16" s="6" t="s">
        <v>315</v>
      </c>
      <c r="H16" s="6">
        <v>85258</v>
      </c>
      <c r="I16" s="6" t="s">
        <v>646</v>
      </c>
      <c r="J16" s="6" t="s">
        <v>268</v>
      </c>
      <c r="K16" s="6" t="s">
        <v>269</v>
      </c>
      <c r="L16" s="12">
        <v>44286</v>
      </c>
      <c r="M16" s="15" t="str">
        <f t="shared" si="0"/>
        <v>03/31/21</v>
      </c>
      <c r="N16" s="6" t="e">
        <v>#REF!</v>
      </c>
      <c r="O16" s="10">
        <f t="shared" si="1"/>
        <v>11801.715</v>
      </c>
      <c r="P16" s="11" t="str">
        <f t="shared" si="2"/>
        <v>$11,801.72</v>
      </c>
      <c r="Q16" s="12">
        <v>44328</v>
      </c>
      <c r="R16" s="4" t="str">
        <f t="shared" si="3"/>
        <v>05/12/21</v>
      </c>
      <c r="S16" t="str">
        <f t="shared" si="4"/>
        <v>PINAL</v>
      </c>
      <c r="T16" s="13" t="str">
        <f t="shared" si="5"/>
        <v>104-56-010</v>
      </c>
      <c r="U16" t="str">
        <f t="shared" si="6"/>
        <v xml:space="preserve">5226 W MONTE CRISTO AVE </v>
      </c>
      <c r="V16" t="s">
        <v>304</v>
      </c>
      <c r="W16" t="s">
        <v>315</v>
      </c>
      <c r="X16" t="str">
        <f t="shared" si="7"/>
        <v>85306-2507</v>
      </c>
      <c r="Y16">
        <f t="shared" si="8"/>
        <v>0</v>
      </c>
      <c r="Z16" t="str">
        <f t="shared" si="9"/>
        <v>BUNCH CHAD J &amp; BRENDA CO TRS</v>
      </c>
      <c r="AA16" t="str">
        <f t="shared" si="10"/>
        <v>W1/2 NW NE NW SE OF SEC 4-2S-10E 1.25 AC</v>
      </c>
      <c r="AB16">
        <f t="shared" si="11"/>
        <v>1.25</v>
      </c>
      <c r="AC16" t="str">
        <f t="shared" si="12"/>
        <v>PINAL</v>
      </c>
      <c r="AD16" s="6" t="str">
        <f t="shared" si="13"/>
        <v>85118</v>
      </c>
      <c r="AE16">
        <f t="shared" si="14"/>
        <v>9394.4</v>
      </c>
      <c r="AF16" s="28">
        <v>93944</v>
      </c>
      <c r="AG16" s="29">
        <v>0.1</v>
      </c>
      <c r="AH16" s="6">
        <v>5.0000000000000001E-3</v>
      </c>
      <c r="AI16">
        <f t="shared" si="15"/>
        <v>1.25</v>
      </c>
      <c r="AO16" t="s">
        <v>573</v>
      </c>
      <c r="AR16" t="s">
        <v>573</v>
      </c>
      <c r="AS16" t="s">
        <v>295</v>
      </c>
      <c r="AT16">
        <v>1</v>
      </c>
      <c r="BC16" t="s">
        <v>574</v>
      </c>
      <c r="BD16" t="s">
        <v>573</v>
      </c>
      <c r="BE16" t="s">
        <v>295</v>
      </c>
      <c r="BH16" t="s">
        <v>288</v>
      </c>
      <c r="BI16" t="s">
        <v>285</v>
      </c>
      <c r="BQ16" t="s">
        <v>461</v>
      </c>
      <c r="BR16" t="s">
        <v>367</v>
      </c>
      <c r="BS16" t="s">
        <v>315</v>
      </c>
      <c r="BT16" t="str">
        <f t="shared" si="17"/>
        <v>85118</v>
      </c>
      <c r="BU16" t="str">
        <f t="shared" si="17"/>
        <v>85118</v>
      </c>
      <c r="BV16" t="s">
        <v>316</v>
      </c>
      <c r="BY16" t="s">
        <v>462</v>
      </c>
      <c r="BZ16" t="s">
        <v>296</v>
      </c>
      <c r="CA16">
        <v>5226</v>
      </c>
      <c r="CD16" t="s">
        <v>575</v>
      </c>
      <c r="CE16" t="s">
        <v>272</v>
      </c>
      <c r="CG16" t="s">
        <v>304</v>
      </c>
      <c r="CH16" t="s">
        <v>304</v>
      </c>
      <c r="CI16" t="s">
        <v>315</v>
      </c>
      <c r="CJ16" t="str">
        <f>"85306-2507"</f>
        <v>85306-2507</v>
      </c>
      <c r="CK16" t="s">
        <v>412</v>
      </c>
      <c r="CL16" t="s">
        <v>576</v>
      </c>
      <c r="CM16" t="s">
        <v>577</v>
      </c>
      <c r="CN16" t="s">
        <v>274</v>
      </c>
      <c r="CO16" t="s">
        <v>578</v>
      </c>
      <c r="CP16" t="str">
        <f>"104-56-010"</f>
        <v>104-56-010</v>
      </c>
      <c r="CQ16" t="str">
        <f>"10456010"</f>
        <v>10456010</v>
      </c>
      <c r="CR16" t="str">
        <f>""</f>
        <v/>
      </c>
      <c r="CS16">
        <v>4021</v>
      </c>
      <c r="CU16">
        <v>201</v>
      </c>
      <c r="CV16">
        <v>1016</v>
      </c>
      <c r="CX16" t="s">
        <v>352</v>
      </c>
      <c r="CY16" t="s">
        <v>399</v>
      </c>
      <c r="CZ16">
        <v>4</v>
      </c>
      <c r="DB16">
        <v>33.285781992474398</v>
      </c>
      <c r="DC16">
        <v>-111.327367331358</v>
      </c>
      <c r="DK16" t="s">
        <v>427</v>
      </c>
      <c r="DO16" t="str">
        <f>""</f>
        <v/>
      </c>
      <c r="DQ16">
        <v>0</v>
      </c>
      <c r="DR16">
        <v>0</v>
      </c>
      <c r="DS16">
        <v>0</v>
      </c>
      <c r="DT16">
        <v>0</v>
      </c>
      <c r="DW16">
        <v>0</v>
      </c>
      <c r="DX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L16">
        <v>0</v>
      </c>
      <c r="EN16">
        <v>0</v>
      </c>
      <c r="EP16">
        <v>0</v>
      </c>
      <c r="ER16">
        <v>0</v>
      </c>
      <c r="ET16">
        <v>0</v>
      </c>
      <c r="EY16">
        <v>0</v>
      </c>
      <c r="FA16">
        <v>0</v>
      </c>
      <c r="FL16">
        <v>0</v>
      </c>
      <c r="FO16" s="3">
        <v>1</v>
      </c>
      <c r="FQ16" t="s">
        <v>317</v>
      </c>
      <c r="FR16" t="s">
        <v>318</v>
      </c>
      <c r="FS16" t="s">
        <v>319</v>
      </c>
      <c r="FU16">
        <v>54450</v>
      </c>
      <c r="FV16">
        <v>1.25</v>
      </c>
      <c r="FW16">
        <v>0</v>
      </c>
      <c r="FX16">
        <v>0</v>
      </c>
      <c r="FY16">
        <v>0</v>
      </c>
      <c r="FZ16">
        <v>0</v>
      </c>
      <c r="GI16" t="s">
        <v>279</v>
      </c>
      <c r="GJ16" t="s">
        <v>428</v>
      </c>
      <c r="GK16" t="s">
        <v>429</v>
      </c>
      <c r="GL16" s="1">
        <v>39420</v>
      </c>
      <c r="GM16" t="s">
        <v>320</v>
      </c>
      <c r="GN16" t="str">
        <f>"TRUE"</f>
        <v>TRUE</v>
      </c>
      <c r="GO16">
        <v>2021</v>
      </c>
      <c r="GQ16">
        <v>1511</v>
      </c>
      <c r="GR16" t="s">
        <v>276</v>
      </c>
      <c r="GS16" t="s">
        <v>276</v>
      </c>
      <c r="GT16" t="s">
        <v>276</v>
      </c>
      <c r="GU16" t="s">
        <v>276</v>
      </c>
      <c r="GV16" t="s">
        <v>276</v>
      </c>
      <c r="GW16" t="s">
        <v>276</v>
      </c>
      <c r="GX16" t="s">
        <v>276</v>
      </c>
      <c r="GY16" t="s">
        <v>276</v>
      </c>
      <c r="GZ16" t="s">
        <v>276</v>
      </c>
      <c r="HA16" t="s">
        <v>276</v>
      </c>
      <c r="HB16" t="s">
        <v>276</v>
      </c>
      <c r="HC16" t="s">
        <v>276</v>
      </c>
      <c r="HD16" t="s">
        <v>276</v>
      </c>
      <c r="HE16" s="2">
        <v>0</v>
      </c>
      <c r="HF16" s="2">
        <v>0</v>
      </c>
      <c r="HG16" s="2">
        <v>0</v>
      </c>
      <c r="HH16">
        <v>0</v>
      </c>
      <c r="HI16" s="7">
        <v>11900</v>
      </c>
      <c r="HJ16" s="8">
        <v>11900</v>
      </c>
      <c r="HK16" s="8">
        <v>0</v>
      </c>
      <c r="HL16">
        <v>0</v>
      </c>
      <c r="HM16" s="2">
        <v>0</v>
      </c>
      <c r="HN16" s="2">
        <v>0</v>
      </c>
      <c r="HO16" s="2">
        <v>0</v>
      </c>
      <c r="HP16">
        <v>0</v>
      </c>
      <c r="HS16" s="2">
        <v>11900</v>
      </c>
      <c r="HV16" t="s">
        <v>430</v>
      </c>
      <c r="HY16" t="s">
        <v>431</v>
      </c>
      <c r="HZ16" t="s">
        <v>432</v>
      </c>
      <c r="IA16" t="s">
        <v>433</v>
      </c>
      <c r="IB16" s="1">
        <v>41711</v>
      </c>
      <c r="IC16" s="1">
        <v>41717</v>
      </c>
      <c r="IE16" t="s">
        <v>373</v>
      </c>
      <c r="IF16" t="str">
        <f>""</f>
        <v/>
      </c>
      <c r="IG16" t="str">
        <f>"2014.15723"</f>
        <v>2014.15723</v>
      </c>
      <c r="IS16" t="str">
        <f>""</f>
        <v/>
      </c>
      <c r="IX16" t="str">
        <f>""</f>
        <v/>
      </c>
      <c r="JA16" t="s">
        <v>277</v>
      </c>
      <c r="JC16" t="str">
        <f>""</f>
        <v/>
      </c>
      <c r="JM16" t="str">
        <f>""</f>
        <v/>
      </c>
      <c r="JN16" t="str">
        <f>HYPERLINK("https://web.datatree.com/?/property?propertyId=6451283")</f>
        <v>https://web.datatree.com/?/property?propertyId=6451283</v>
      </c>
    </row>
    <row r="17" spans="1:274" x14ac:dyDescent="0.25">
      <c r="B17" s="6" t="s">
        <v>265</v>
      </c>
      <c r="C17" s="6" t="s">
        <v>266</v>
      </c>
      <c r="D17" s="6" t="s">
        <v>267</v>
      </c>
      <c r="E17" s="6" t="s">
        <v>644</v>
      </c>
      <c r="F17" s="6" t="s">
        <v>645</v>
      </c>
      <c r="G17" s="6" t="s">
        <v>315</v>
      </c>
      <c r="H17" s="6">
        <v>85258</v>
      </c>
      <c r="I17" s="6" t="s">
        <v>646</v>
      </c>
      <c r="J17" s="6" t="s">
        <v>268</v>
      </c>
      <c r="K17" s="6" t="s">
        <v>269</v>
      </c>
      <c r="L17" s="12">
        <v>44286</v>
      </c>
      <c r="M17" s="15" t="str">
        <f t="shared" si="0"/>
        <v>03/31/21</v>
      </c>
      <c r="N17" s="6" t="e">
        <v>#REF!</v>
      </c>
      <c r="O17" s="10">
        <f t="shared" si="1"/>
        <v>11801.715</v>
      </c>
      <c r="P17" s="11" t="str">
        <f t="shared" si="2"/>
        <v>$11,801.72</v>
      </c>
      <c r="Q17" s="12">
        <v>44328</v>
      </c>
      <c r="R17" s="4" t="str">
        <f t="shared" si="3"/>
        <v>05/12/21</v>
      </c>
      <c r="S17" t="str">
        <f t="shared" si="4"/>
        <v>PINAL</v>
      </c>
      <c r="T17" s="13" t="str">
        <f t="shared" si="5"/>
        <v>104-12-145B</v>
      </c>
      <c r="U17" t="str">
        <f t="shared" si="6"/>
        <v xml:space="preserve">3366 W GALVESTON DR #103 </v>
      </c>
      <c r="V17" t="s">
        <v>314</v>
      </c>
      <c r="W17" t="s">
        <v>315</v>
      </c>
      <c r="X17" t="str">
        <f t="shared" si="7"/>
        <v>85120-7194</v>
      </c>
      <c r="Y17">
        <f t="shared" si="8"/>
        <v>0</v>
      </c>
      <c r="Z17" t="str">
        <f t="shared" si="9"/>
        <v>NORTH AMERICAN ENVIRONMENTAL CORP</v>
      </c>
      <c r="AA17" t="str">
        <f t="shared" si="10"/>
        <v>COM @ THE MONUMENT LINE INTER OF KINGS RNCH RD W/TOPAS DR BK-10 P G-38 OF MAPS SEC 8-1S-9E TH N42D E-38.11 TH S47D E-50 TO POB TH N 42D E-303.58 TH S55D E-182.15 TH S42D W-303.58 TH N55D W-182.15 T O POB 1.25 AC</v>
      </c>
      <c r="AB17">
        <f t="shared" si="11"/>
        <v>1.25</v>
      </c>
      <c r="AC17" t="str">
        <f t="shared" si="12"/>
        <v>PINAL</v>
      </c>
      <c r="AD17" s="6" t="str">
        <f t="shared" si="13"/>
        <v>85118</v>
      </c>
      <c r="AE17">
        <f t="shared" si="14"/>
        <v>9394.4</v>
      </c>
      <c r="AF17" s="28">
        <v>93944</v>
      </c>
      <c r="AG17" s="29">
        <v>0.1</v>
      </c>
      <c r="AH17" s="6">
        <v>5.0000000000000001E-3</v>
      </c>
      <c r="AI17">
        <f t="shared" si="15"/>
        <v>1.25</v>
      </c>
      <c r="AO17" t="s">
        <v>533</v>
      </c>
      <c r="AR17" t="s">
        <v>533</v>
      </c>
      <c r="AS17" t="s">
        <v>278</v>
      </c>
      <c r="AT17">
        <v>2</v>
      </c>
      <c r="BC17" t="s">
        <v>533</v>
      </c>
      <c r="BD17" t="s">
        <v>533</v>
      </c>
      <c r="BH17" t="s">
        <v>271</v>
      </c>
      <c r="BJ17" t="s">
        <v>294</v>
      </c>
      <c r="BN17" t="s">
        <v>534</v>
      </c>
      <c r="BO17" t="s">
        <v>283</v>
      </c>
      <c r="BQ17" t="s">
        <v>395</v>
      </c>
      <c r="BR17" t="s">
        <v>367</v>
      </c>
      <c r="BS17" t="s">
        <v>315</v>
      </c>
      <c r="BT17" t="str">
        <f t="shared" si="17"/>
        <v>85118</v>
      </c>
      <c r="BU17" t="str">
        <f t="shared" si="17"/>
        <v>85118</v>
      </c>
      <c r="BV17" t="s">
        <v>316</v>
      </c>
      <c r="BX17" t="s">
        <v>535</v>
      </c>
      <c r="BY17" t="s">
        <v>536</v>
      </c>
      <c r="BZ17" t="s">
        <v>296</v>
      </c>
      <c r="CA17">
        <v>3366</v>
      </c>
      <c r="CD17" t="s">
        <v>537</v>
      </c>
      <c r="CE17" t="s">
        <v>273</v>
      </c>
      <c r="CF17">
        <v>103</v>
      </c>
      <c r="CG17" t="s">
        <v>314</v>
      </c>
      <c r="CH17" t="s">
        <v>367</v>
      </c>
      <c r="CI17" t="s">
        <v>315</v>
      </c>
      <c r="CJ17" t="str">
        <f>"85120-7194"</f>
        <v>85120-7194</v>
      </c>
      <c r="CK17" t="s">
        <v>538</v>
      </c>
      <c r="CL17" t="s">
        <v>539</v>
      </c>
      <c r="CM17" t="s">
        <v>540</v>
      </c>
      <c r="CN17" t="s">
        <v>274</v>
      </c>
      <c r="CO17" t="s">
        <v>541</v>
      </c>
      <c r="CP17" t="str">
        <f>"104-12-145B"</f>
        <v>104-12-145B</v>
      </c>
      <c r="CQ17" t="str">
        <f>"10412145B"</f>
        <v>10412145B</v>
      </c>
      <c r="CR17" t="str">
        <f>""</f>
        <v/>
      </c>
      <c r="CS17">
        <v>4021</v>
      </c>
      <c r="CU17">
        <v>201</v>
      </c>
      <c r="CV17">
        <v>1016</v>
      </c>
      <c r="CX17" t="s">
        <v>441</v>
      </c>
      <c r="CY17" t="s">
        <v>348</v>
      </c>
      <c r="CZ17">
        <v>8</v>
      </c>
      <c r="DB17">
        <v>33.355237391416701</v>
      </c>
      <c r="DC17">
        <v>-111.45344680098501</v>
      </c>
      <c r="DK17" t="s">
        <v>542</v>
      </c>
      <c r="DM17">
        <v>10</v>
      </c>
      <c r="DN17">
        <v>38</v>
      </c>
      <c r="DO17" t="str">
        <f>""</f>
        <v/>
      </c>
      <c r="DQ17">
        <v>0</v>
      </c>
      <c r="DR17">
        <v>0</v>
      </c>
      <c r="DS17">
        <v>0</v>
      </c>
      <c r="DT17">
        <v>0</v>
      </c>
      <c r="DW17">
        <v>0</v>
      </c>
      <c r="DX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L17">
        <v>0</v>
      </c>
      <c r="EN17">
        <v>0</v>
      </c>
      <c r="EP17">
        <v>0</v>
      </c>
      <c r="ER17">
        <v>0</v>
      </c>
      <c r="ET17">
        <v>0</v>
      </c>
      <c r="EY17">
        <v>0</v>
      </c>
      <c r="FA17">
        <v>0</v>
      </c>
      <c r="FL17">
        <v>0</v>
      </c>
      <c r="FO17" s="3">
        <v>1</v>
      </c>
      <c r="FQ17" t="s">
        <v>543</v>
      </c>
      <c r="FR17" t="s">
        <v>544</v>
      </c>
      <c r="FS17" t="s">
        <v>545</v>
      </c>
      <c r="FU17">
        <v>54450</v>
      </c>
      <c r="FV17">
        <v>1.25</v>
      </c>
      <c r="FW17">
        <v>0</v>
      </c>
      <c r="FX17">
        <v>0</v>
      </c>
      <c r="FY17">
        <v>0</v>
      </c>
      <c r="FZ17">
        <v>0</v>
      </c>
      <c r="GI17" t="s">
        <v>275</v>
      </c>
      <c r="GJ17" t="s">
        <v>515</v>
      </c>
      <c r="GK17" t="s">
        <v>309</v>
      </c>
      <c r="GL17" s="1">
        <v>39420</v>
      </c>
      <c r="GM17" t="s">
        <v>320</v>
      </c>
      <c r="GN17" t="str">
        <f t="shared" ref="GN17:GN20" si="18">"FALSE"</f>
        <v>FALSE</v>
      </c>
      <c r="GO17">
        <v>2021</v>
      </c>
      <c r="GP17">
        <v>2020</v>
      </c>
      <c r="GQ17">
        <v>4301</v>
      </c>
      <c r="GR17" t="s">
        <v>276</v>
      </c>
      <c r="GS17" t="s">
        <v>276</v>
      </c>
      <c r="GT17" t="s">
        <v>276</v>
      </c>
      <c r="GU17" t="s">
        <v>276</v>
      </c>
      <c r="GV17" t="s">
        <v>276</v>
      </c>
      <c r="GW17" t="s">
        <v>276</v>
      </c>
      <c r="GX17" t="s">
        <v>276</v>
      </c>
      <c r="GY17" t="s">
        <v>276</v>
      </c>
      <c r="GZ17" t="s">
        <v>276</v>
      </c>
      <c r="HA17" t="s">
        <v>276</v>
      </c>
      <c r="HB17" t="s">
        <v>276</v>
      </c>
      <c r="HC17" t="s">
        <v>276</v>
      </c>
      <c r="HD17" t="s">
        <v>276</v>
      </c>
      <c r="HE17" s="2">
        <v>0</v>
      </c>
      <c r="HF17" s="2">
        <v>0</v>
      </c>
      <c r="HG17" s="2">
        <v>0</v>
      </c>
      <c r="HH17">
        <v>0</v>
      </c>
      <c r="HI17" s="7">
        <v>76230</v>
      </c>
      <c r="HJ17" s="8">
        <v>76230</v>
      </c>
      <c r="HK17" s="8">
        <v>0</v>
      </c>
      <c r="HL17">
        <v>0</v>
      </c>
      <c r="HM17" s="2">
        <v>0</v>
      </c>
      <c r="HN17" s="2">
        <v>0</v>
      </c>
      <c r="HO17" s="2">
        <v>0</v>
      </c>
      <c r="HP17">
        <v>0</v>
      </c>
      <c r="HQ17" s="2">
        <v>1726.26</v>
      </c>
      <c r="HS17" s="2">
        <v>76230</v>
      </c>
      <c r="HV17" t="s">
        <v>321</v>
      </c>
      <c r="HY17" t="s">
        <v>396</v>
      </c>
      <c r="HZ17" t="s">
        <v>322</v>
      </c>
      <c r="IA17" t="s">
        <v>323</v>
      </c>
      <c r="IF17" t="str">
        <f>""</f>
        <v/>
      </c>
      <c r="IG17" t="str">
        <f>""</f>
        <v/>
      </c>
      <c r="IH17" s="1">
        <v>43179</v>
      </c>
      <c r="II17" s="1">
        <v>43179</v>
      </c>
      <c r="IJ17" s="30">
        <v>175000</v>
      </c>
      <c r="IK17" t="s">
        <v>306</v>
      </c>
      <c r="IL17" t="s">
        <v>372</v>
      </c>
      <c r="IM17" t="s">
        <v>546</v>
      </c>
      <c r="IS17" t="str">
        <f>""</f>
        <v/>
      </c>
      <c r="IX17" t="str">
        <f>""</f>
        <v/>
      </c>
      <c r="IZ17" t="s">
        <v>547</v>
      </c>
      <c r="JA17" t="s">
        <v>277</v>
      </c>
      <c r="JC17" t="str">
        <f>"2018.20288"</f>
        <v>2018.20288</v>
      </c>
      <c r="JM17" t="str">
        <f>""</f>
        <v/>
      </c>
      <c r="JN17" t="str">
        <f>HYPERLINK("https://web.datatree.com/?/property?propertyId=7138025")</f>
        <v>https://web.datatree.com/?/property?propertyId=7138025</v>
      </c>
    </row>
    <row r="18" spans="1:274" x14ac:dyDescent="0.25">
      <c r="B18" s="6" t="s">
        <v>265</v>
      </c>
      <c r="C18" s="6" t="s">
        <v>266</v>
      </c>
      <c r="D18" s="6" t="s">
        <v>267</v>
      </c>
      <c r="E18" s="6" t="s">
        <v>644</v>
      </c>
      <c r="F18" s="6" t="s">
        <v>645</v>
      </c>
      <c r="G18" s="6" t="s">
        <v>315</v>
      </c>
      <c r="H18" s="6">
        <v>85258</v>
      </c>
      <c r="I18" s="6" t="s">
        <v>646</v>
      </c>
      <c r="J18" s="6" t="s">
        <v>268</v>
      </c>
      <c r="K18" s="6" t="s">
        <v>269</v>
      </c>
      <c r="L18" s="12">
        <v>44286</v>
      </c>
      <c r="M18" s="15" t="str">
        <f t="shared" si="0"/>
        <v>03/31/21</v>
      </c>
      <c r="N18" s="6" t="e">
        <v>#REF!</v>
      </c>
      <c r="O18" s="10">
        <f t="shared" si="1"/>
        <v>11801.715</v>
      </c>
      <c r="P18" s="11" t="str">
        <f t="shared" si="2"/>
        <v>$11,801.72</v>
      </c>
      <c r="Q18" s="12">
        <v>44328</v>
      </c>
      <c r="R18" s="4" t="str">
        <f t="shared" si="3"/>
        <v>05/12/21</v>
      </c>
      <c r="S18" t="str">
        <f t="shared" si="4"/>
        <v>PINAL</v>
      </c>
      <c r="T18" s="13" t="str">
        <f t="shared" si="5"/>
        <v>104-10-020A</v>
      </c>
      <c r="U18" t="str">
        <f t="shared" si="6"/>
        <v xml:space="preserve">44400 W ADOBE CIR </v>
      </c>
      <c r="V18" t="s">
        <v>324</v>
      </c>
      <c r="W18" t="s">
        <v>315</v>
      </c>
      <c r="X18" t="str">
        <f t="shared" si="7"/>
        <v>85139-8823</v>
      </c>
      <c r="Y18" t="str">
        <f t="shared" si="8"/>
        <v>DARRIN</v>
      </c>
      <c r="Z18" t="str">
        <f t="shared" si="9"/>
        <v>MACK</v>
      </c>
      <c r="AA18" t="str">
        <f t="shared" si="10"/>
        <v>E-200 OF S-272.50 OF SW SE SE OF SEC 4-1S-9E AKA PCL AA BK 18 OF SURVEYS PG 51 1.25 AC</v>
      </c>
      <c r="AB18">
        <f t="shared" si="11"/>
        <v>1.25</v>
      </c>
      <c r="AC18" t="str">
        <f t="shared" si="12"/>
        <v>PINAL</v>
      </c>
      <c r="AD18" s="6" t="str">
        <f t="shared" si="13"/>
        <v>85118</v>
      </c>
      <c r="AE18">
        <f t="shared" si="14"/>
        <v>9394.4</v>
      </c>
      <c r="AF18" s="28">
        <v>93944</v>
      </c>
      <c r="AG18" s="29">
        <v>0.1</v>
      </c>
      <c r="AH18" s="6">
        <v>5.0000000000000001E-3</v>
      </c>
      <c r="AI18">
        <f t="shared" si="15"/>
        <v>1.25</v>
      </c>
      <c r="AO18" t="s">
        <v>562</v>
      </c>
      <c r="AP18" t="s">
        <v>532</v>
      </c>
      <c r="AQ18" t="s">
        <v>532</v>
      </c>
      <c r="AR18" t="s">
        <v>563</v>
      </c>
      <c r="AS18" t="s">
        <v>270</v>
      </c>
      <c r="AT18">
        <v>1</v>
      </c>
      <c r="BC18" t="s">
        <v>564</v>
      </c>
      <c r="BD18" t="s">
        <v>562</v>
      </c>
      <c r="BH18" t="s">
        <v>271</v>
      </c>
      <c r="BJ18" t="s">
        <v>293</v>
      </c>
      <c r="BK18">
        <v>10958</v>
      </c>
      <c r="BN18" t="s">
        <v>565</v>
      </c>
      <c r="BO18" t="s">
        <v>283</v>
      </c>
      <c r="BQ18" t="s">
        <v>395</v>
      </c>
      <c r="BR18" t="s">
        <v>367</v>
      </c>
      <c r="BS18" t="s">
        <v>315</v>
      </c>
      <c r="BT18" t="str">
        <f t="shared" ref="BT18:BT20" si="19">"85118"</f>
        <v>85118</v>
      </c>
      <c r="BU18" t="str">
        <f>"85118-3407"</f>
        <v>85118-3407</v>
      </c>
      <c r="BV18" t="s">
        <v>316</v>
      </c>
      <c r="BW18" t="s">
        <v>413</v>
      </c>
      <c r="BX18" t="s">
        <v>566</v>
      </c>
      <c r="BY18" t="s">
        <v>567</v>
      </c>
      <c r="BZ18" t="s">
        <v>296</v>
      </c>
      <c r="CA18">
        <v>44400</v>
      </c>
      <c r="CD18" t="s">
        <v>568</v>
      </c>
      <c r="CE18" t="s">
        <v>300</v>
      </c>
      <c r="CG18" t="s">
        <v>324</v>
      </c>
      <c r="CH18" t="s">
        <v>324</v>
      </c>
      <c r="CI18" t="s">
        <v>315</v>
      </c>
      <c r="CJ18" t="str">
        <f>"85139-8823"</f>
        <v>85139-8823</v>
      </c>
      <c r="CK18" t="s">
        <v>411</v>
      </c>
      <c r="CL18" t="s">
        <v>569</v>
      </c>
      <c r="CM18" t="s">
        <v>570</v>
      </c>
      <c r="CN18" t="s">
        <v>274</v>
      </c>
      <c r="CO18" t="s">
        <v>571</v>
      </c>
      <c r="CP18" t="str">
        <f>"104-10-020A"</f>
        <v>104-10-020A</v>
      </c>
      <c r="CQ18" t="str">
        <f>"10410020A"</f>
        <v>10410020A</v>
      </c>
      <c r="CR18" t="str">
        <f>""</f>
        <v/>
      </c>
      <c r="CS18">
        <v>4021</v>
      </c>
      <c r="CU18">
        <v>201</v>
      </c>
      <c r="CV18">
        <v>1016</v>
      </c>
      <c r="CX18" t="s">
        <v>441</v>
      </c>
      <c r="CY18" t="s">
        <v>348</v>
      </c>
      <c r="CZ18">
        <v>4</v>
      </c>
      <c r="DB18">
        <v>33.365938042995097</v>
      </c>
      <c r="DC18">
        <v>-111.427437056949</v>
      </c>
      <c r="DD18" t="s">
        <v>340</v>
      </c>
      <c r="DK18" t="s">
        <v>514</v>
      </c>
      <c r="DM18">
        <v>18</v>
      </c>
      <c r="DN18">
        <v>51</v>
      </c>
      <c r="DO18" t="str">
        <f>""</f>
        <v/>
      </c>
      <c r="DQ18">
        <v>0</v>
      </c>
      <c r="DR18">
        <v>0</v>
      </c>
      <c r="DS18">
        <v>0</v>
      </c>
      <c r="DT18">
        <v>0</v>
      </c>
      <c r="DW18">
        <v>0</v>
      </c>
      <c r="DX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L18">
        <v>0</v>
      </c>
      <c r="EN18">
        <v>0</v>
      </c>
      <c r="EP18">
        <v>0</v>
      </c>
      <c r="ER18">
        <v>0</v>
      </c>
      <c r="ET18">
        <v>0</v>
      </c>
      <c r="EY18">
        <v>0</v>
      </c>
      <c r="FA18">
        <v>0</v>
      </c>
      <c r="FL18">
        <v>0</v>
      </c>
      <c r="FO18" s="3">
        <v>1</v>
      </c>
      <c r="FQ18" t="s">
        <v>317</v>
      </c>
      <c r="FR18" t="s">
        <v>318</v>
      </c>
      <c r="FS18" t="s">
        <v>319</v>
      </c>
      <c r="FU18">
        <v>54450</v>
      </c>
      <c r="FV18">
        <v>1.25</v>
      </c>
      <c r="FW18">
        <v>0</v>
      </c>
      <c r="FX18">
        <v>0</v>
      </c>
      <c r="FY18">
        <v>0</v>
      </c>
      <c r="FZ18">
        <v>0</v>
      </c>
      <c r="GI18" t="s">
        <v>275</v>
      </c>
      <c r="GJ18" t="s">
        <v>515</v>
      </c>
      <c r="GK18" t="s">
        <v>309</v>
      </c>
      <c r="GL18" s="1">
        <v>39420</v>
      </c>
      <c r="GM18" t="s">
        <v>320</v>
      </c>
      <c r="GN18" t="str">
        <f t="shared" si="18"/>
        <v>FALSE</v>
      </c>
      <c r="GO18">
        <v>2021</v>
      </c>
      <c r="GP18">
        <v>2020</v>
      </c>
      <c r="GQ18">
        <v>4301</v>
      </c>
      <c r="GR18" t="s">
        <v>276</v>
      </c>
      <c r="GS18" t="s">
        <v>276</v>
      </c>
      <c r="GT18" t="s">
        <v>276</v>
      </c>
      <c r="GU18" t="s">
        <v>276</v>
      </c>
      <c r="GV18" t="s">
        <v>276</v>
      </c>
      <c r="GW18" t="s">
        <v>276</v>
      </c>
      <c r="GX18" t="s">
        <v>276</v>
      </c>
      <c r="GY18" t="s">
        <v>276</v>
      </c>
      <c r="GZ18" t="s">
        <v>276</v>
      </c>
      <c r="HA18" t="s">
        <v>276</v>
      </c>
      <c r="HB18" t="s">
        <v>276</v>
      </c>
      <c r="HC18" t="s">
        <v>276</v>
      </c>
      <c r="HD18" t="s">
        <v>276</v>
      </c>
      <c r="HE18" s="2">
        <v>0</v>
      </c>
      <c r="HF18" s="2">
        <v>0</v>
      </c>
      <c r="HG18" s="2">
        <v>0</v>
      </c>
      <c r="HH18">
        <v>0</v>
      </c>
      <c r="HI18" s="7">
        <v>88818</v>
      </c>
      <c r="HJ18" s="8">
        <v>88818</v>
      </c>
      <c r="HK18" s="8">
        <v>0</v>
      </c>
      <c r="HL18">
        <v>0</v>
      </c>
      <c r="HM18" s="2">
        <v>0</v>
      </c>
      <c r="HN18" s="2">
        <v>0</v>
      </c>
      <c r="HO18" s="2">
        <v>0</v>
      </c>
      <c r="HP18">
        <v>0</v>
      </c>
      <c r="HQ18" s="2">
        <v>1062.2</v>
      </c>
      <c r="HS18" s="2">
        <v>88818</v>
      </c>
      <c r="HV18" t="s">
        <v>321</v>
      </c>
      <c r="HY18" t="s">
        <v>396</v>
      </c>
      <c r="HZ18" t="s">
        <v>322</v>
      </c>
      <c r="IA18" t="s">
        <v>323</v>
      </c>
      <c r="IB18" s="1">
        <v>43720</v>
      </c>
      <c r="IC18" s="1">
        <v>43733</v>
      </c>
      <c r="ID18" s="2">
        <v>0</v>
      </c>
      <c r="IE18" t="s">
        <v>297</v>
      </c>
      <c r="IF18" t="str">
        <f>""</f>
        <v/>
      </c>
      <c r="IG18" t="str">
        <f>"2019.80545"</f>
        <v>2019.80545</v>
      </c>
      <c r="IH18" s="1">
        <v>43703</v>
      </c>
      <c r="II18" s="1">
        <v>43733</v>
      </c>
      <c r="IJ18" s="30">
        <v>89000</v>
      </c>
      <c r="IK18" t="s">
        <v>306</v>
      </c>
      <c r="IL18" t="s">
        <v>302</v>
      </c>
      <c r="IM18" t="s">
        <v>572</v>
      </c>
      <c r="IS18" t="str">
        <f>""</f>
        <v/>
      </c>
      <c r="IX18" t="str">
        <f>""</f>
        <v/>
      </c>
      <c r="IZ18" t="s">
        <v>402</v>
      </c>
      <c r="JA18" t="s">
        <v>277</v>
      </c>
      <c r="JC18" t="str">
        <f>"2019.80544"</f>
        <v>2019.80544</v>
      </c>
      <c r="JE18" s="1">
        <v>38519</v>
      </c>
      <c r="JF18" s="2">
        <v>1100000</v>
      </c>
      <c r="JG18" t="s">
        <v>308</v>
      </c>
      <c r="JH18" t="s">
        <v>366</v>
      </c>
      <c r="JI18" s="2">
        <v>825000</v>
      </c>
      <c r="JJ18" t="s">
        <v>289</v>
      </c>
      <c r="JK18" t="s">
        <v>290</v>
      </c>
      <c r="JM18" t="str">
        <f>"2005.71985"</f>
        <v>2005.71985</v>
      </c>
      <c r="JN18" t="str">
        <f>HYPERLINK("https://web.datatree.com/?/property?propertyId=5779930")</f>
        <v>https://web.datatree.com/?/property?propertyId=5779930</v>
      </c>
    </row>
    <row r="19" spans="1:274" x14ac:dyDescent="0.25">
      <c r="B19" s="6" t="s">
        <v>265</v>
      </c>
      <c r="C19" s="6" t="s">
        <v>266</v>
      </c>
      <c r="D19" s="6" t="s">
        <v>267</v>
      </c>
      <c r="E19" s="6" t="s">
        <v>644</v>
      </c>
      <c r="F19" s="6" t="s">
        <v>645</v>
      </c>
      <c r="G19" s="6" t="s">
        <v>315</v>
      </c>
      <c r="H19" s="6">
        <v>85258</v>
      </c>
      <c r="I19" s="6" t="s">
        <v>646</v>
      </c>
      <c r="J19" s="6" t="s">
        <v>268</v>
      </c>
      <c r="K19" s="6" t="s">
        <v>269</v>
      </c>
      <c r="L19" s="12">
        <v>44286</v>
      </c>
      <c r="M19" s="15" t="str">
        <f t="shared" si="0"/>
        <v>03/31/21</v>
      </c>
      <c r="N19" s="6" t="e">
        <v>#REF!</v>
      </c>
      <c r="O19" s="10">
        <f t="shared" si="1"/>
        <v>11801.715</v>
      </c>
      <c r="P19" s="11" t="str">
        <f t="shared" si="2"/>
        <v>$11,801.72</v>
      </c>
      <c r="Q19" s="12">
        <v>44328</v>
      </c>
      <c r="R19" s="4" t="str">
        <f t="shared" si="3"/>
        <v>05/12/21</v>
      </c>
      <c r="S19" t="str">
        <f t="shared" si="4"/>
        <v>PINAL</v>
      </c>
      <c r="T19" s="13" t="str">
        <f t="shared" si="5"/>
        <v>104-10-008E</v>
      </c>
      <c r="U19" t="str">
        <f t="shared" si="6"/>
        <v xml:space="preserve">5375 S CARIOTT CT </v>
      </c>
      <c r="V19" t="s">
        <v>395</v>
      </c>
      <c r="W19" t="s">
        <v>315</v>
      </c>
      <c r="X19" t="str">
        <f t="shared" si="7"/>
        <v>85118-3342</v>
      </c>
      <c r="Y19" t="str">
        <f t="shared" si="8"/>
        <v>LISA</v>
      </c>
      <c r="Z19" t="str">
        <f t="shared" si="9"/>
        <v>EMMANS</v>
      </c>
      <c r="AA19" t="str">
        <f t="shared" si="10"/>
        <v>COM @ THE SE COR OF SEC 4-1S-9E TH W-660.15 TH N-396.00 TO POB TH N-136.00 TH E-208.00 TH N-75DE-326.52 TH S-7.00 TH S-53DW-351.11 TH W-243.00 TO POB AKA PCL NO. 2 IN BK-15 PG-189 1.25 AC</v>
      </c>
      <c r="AB19">
        <f t="shared" si="11"/>
        <v>1.25</v>
      </c>
      <c r="AC19" t="str">
        <f t="shared" si="12"/>
        <v>PINAL</v>
      </c>
      <c r="AD19" s="6" t="str">
        <f t="shared" si="13"/>
        <v>85118</v>
      </c>
      <c r="AE19">
        <f t="shared" si="14"/>
        <v>9394.4</v>
      </c>
      <c r="AF19" s="28">
        <v>93944</v>
      </c>
      <c r="AG19" s="29">
        <v>0.1</v>
      </c>
      <c r="AH19" s="6">
        <v>5.0000000000000001E-3</v>
      </c>
      <c r="AI19">
        <f t="shared" si="15"/>
        <v>1.25</v>
      </c>
      <c r="AO19" t="s">
        <v>579</v>
      </c>
      <c r="AP19" t="s">
        <v>580</v>
      </c>
      <c r="AQ19" t="s">
        <v>548</v>
      </c>
      <c r="AR19" t="s">
        <v>581</v>
      </c>
      <c r="AS19" t="s">
        <v>270</v>
      </c>
      <c r="AT19">
        <v>2</v>
      </c>
      <c r="BC19" t="s">
        <v>582</v>
      </c>
      <c r="BD19" t="s">
        <v>579</v>
      </c>
      <c r="BH19" t="s">
        <v>271</v>
      </c>
      <c r="BJ19" t="s">
        <v>294</v>
      </c>
      <c r="BK19">
        <v>5375</v>
      </c>
      <c r="BN19" t="s">
        <v>583</v>
      </c>
      <c r="BO19" t="s">
        <v>291</v>
      </c>
      <c r="BQ19" t="s">
        <v>395</v>
      </c>
      <c r="BR19" t="s">
        <v>367</v>
      </c>
      <c r="BS19" t="s">
        <v>315</v>
      </c>
      <c r="BT19" t="str">
        <f t="shared" si="19"/>
        <v>85118</v>
      </c>
      <c r="BU19" t="str">
        <f>"85118-3342"</f>
        <v>85118-3342</v>
      </c>
      <c r="BV19" t="s">
        <v>316</v>
      </c>
      <c r="BX19" t="s">
        <v>584</v>
      </c>
      <c r="BY19" t="s">
        <v>585</v>
      </c>
      <c r="BZ19" t="s">
        <v>294</v>
      </c>
      <c r="CA19">
        <v>5375</v>
      </c>
      <c r="CD19" t="s">
        <v>583</v>
      </c>
      <c r="CE19" t="s">
        <v>291</v>
      </c>
      <c r="CG19" t="s">
        <v>395</v>
      </c>
      <c r="CH19" t="s">
        <v>395</v>
      </c>
      <c r="CI19" t="s">
        <v>315</v>
      </c>
      <c r="CJ19" t="str">
        <f>"85118-3342"</f>
        <v>85118-3342</v>
      </c>
      <c r="CL19" t="s">
        <v>584</v>
      </c>
      <c r="CM19" t="s">
        <v>586</v>
      </c>
      <c r="CN19" t="s">
        <v>274</v>
      </c>
      <c r="CO19" t="s">
        <v>587</v>
      </c>
      <c r="CP19" t="str">
        <f>"104-10-008E"</f>
        <v>104-10-008E</v>
      </c>
      <c r="CQ19" t="str">
        <f>"10410008E"</f>
        <v>10410008E</v>
      </c>
      <c r="CR19" t="str">
        <f>""</f>
        <v/>
      </c>
      <c r="CS19">
        <v>4021</v>
      </c>
      <c r="CU19">
        <v>201</v>
      </c>
      <c r="CV19">
        <v>1001</v>
      </c>
      <c r="CX19" t="s">
        <v>441</v>
      </c>
      <c r="CY19" t="s">
        <v>348</v>
      </c>
      <c r="CZ19">
        <v>4</v>
      </c>
      <c r="DB19">
        <v>33.366902056650098</v>
      </c>
      <c r="DC19">
        <v>-111.426425389362</v>
      </c>
      <c r="DK19" t="s">
        <v>514</v>
      </c>
      <c r="DM19">
        <v>15</v>
      </c>
      <c r="DN19">
        <v>189</v>
      </c>
      <c r="DO19" t="str">
        <f>""</f>
        <v/>
      </c>
      <c r="DQ19">
        <v>0</v>
      </c>
      <c r="DR19">
        <v>0</v>
      </c>
      <c r="DS19">
        <v>0</v>
      </c>
      <c r="DT19">
        <v>0</v>
      </c>
      <c r="DW19">
        <v>0</v>
      </c>
      <c r="DX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L19">
        <v>0</v>
      </c>
      <c r="EN19">
        <v>0</v>
      </c>
      <c r="EP19">
        <v>0</v>
      </c>
      <c r="ER19">
        <v>0</v>
      </c>
      <c r="ET19">
        <v>0</v>
      </c>
      <c r="EY19">
        <v>0</v>
      </c>
      <c r="FA19">
        <v>0</v>
      </c>
      <c r="FL19">
        <v>0</v>
      </c>
      <c r="FO19" s="3">
        <v>1</v>
      </c>
      <c r="FQ19" t="s">
        <v>317</v>
      </c>
      <c r="FR19" t="s">
        <v>318</v>
      </c>
      <c r="FS19" t="s">
        <v>319</v>
      </c>
      <c r="FU19">
        <v>54450</v>
      </c>
      <c r="FV19">
        <v>1.25</v>
      </c>
      <c r="FW19">
        <v>0</v>
      </c>
      <c r="FX19">
        <v>0</v>
      </c>
      <c r="FY19">
        <v>0</v>
      </c>
      <c r="FZ19">
        <v>0</v>
      </c>
      <c r="GI19" t="s">
        <v>275</v>
      </c>
      <c r="GJ19" t="s">
        <v>515</v>
      </c>
      <c r="GK19" t="s">
        <v>309</v>
      </c>
      <c r="GL19" s="1">
        <v>39420</v>
      </c>
      <c r="GM19" t="s">
        <v>320</v>
      </c>
      <c r="GN19" t="str">
        <f t="shared" si="18"/>
        <v>FALSE</v>
      </c>
      <c r="GO19">
        <v>2021</v>
      </c>
      <c r="GP19">
        <v>2020</v>
      </c>
      <c r="GQ19">
        <v>4301</v>
      </c>
      <c r="GR19" t="s">
        <v>276</v>
      </c>
      <c r="GS19" t="s">
        <v>276</v>
      </c>
      <c r="GT19" t="s">
        <v>276</v>
      </c>
      <c r="GU19" t="s">
        <v>276</v>
      </c>
      <c r="GV19" t="s">
        <v>276</v>
      </c>
      <c r="GW19" t="s">
        <v>276</v>
      </c>
      <c r="GX19" t="s">
        <v>276</v>
      </c>
      <c r="GY19" t="s">
        <v>276</v>
      </c>
      <c r="GZ19" t="s">
        <v>276</v>
      </c>
      <c r="HA19" t="s">
        <v>276</v>
      </c>
      <c r="HB19" t="s">
        <v>276</v>
      </c>
      <c r="HC19" t="s">
        <v>276</v>
      </c>
      <c r="HD19" t="s">
        <v>276</v>
      </c>
      <c r="HE19" s="2">
        <v>0</v>
      </c>
      <c r="HF19" s="2">
        <v>0</v>
      </c>
      <c r="HG19" s="2">
        <v>0</v>
      </c>
      <c r="HH19">
        <v>0</v>
      </c>
      <c r="HI19" s="7">
        <v>88818</v>
      </c>
      <c r="HJ19" s="8">
        <v>88818</v>
      </c>
      <c r="HK19" s="8">
        <v>0</v>
      </c>
      <c r="HL19">
        <v>0</v>
      </c>
      <c r="HM19" s="2">
        <v>0</v>
      </c>
      <c r="HN19" s="2">
        <v>0</v>
      </c>
      <c r="HO19" s="2">
        <v>0</v>
      </c>
      <c r="HP19">
        <v>0</v>
      </c>
      <c r="HQ19" s="2">
        <v>1062.2</v>
      </c>
      <c r="HS19" s="2">
        <v>88818</v>
      </c>
      <c r="HV19" t="s">
        <v>321</v>
      </c>
      <c r="HY19" t="s">
        <v>396</v>
      </c>
      <c r="HZ19" t="s">
        <v>322</v>
      </c>
      <c r="IA19" t="s">
        <v>323</v>
      </c>
      <c r="IB19" s="1">
        <v>40878</v>
      </c>
      <c r="IC19" s="1">
        <v>40899</v>
      </c>
      <c r="ID19" s="2">
        <v>100000</v>
      </c>
      <c r="IE19" t="s">
        <v>560</v>
      </c>
      <c r="IF19" t="str">
        <f>"                    "</f>
        <v xml:space="preserve">                    </v>
      </c>
      <c r="IG19" t="str">
        <f>"2011.102678"</f>
        <v>2011.102678</v>
      </c>
      <c r="IH19" s="1">
        <v>39315</v>
      </c>
      <c r="II19" s="1">
        <v>39316</v>
      </c>
      <c r="IJ19" s="30">
        <v>325000</v>
      </c>
      <c r="IL19" t="s">
        <v>286</v>
      </c>
      <c r="IM19" t="s">
        <v>345</v>
      </c>
      <c r="IS19" t="str">
        <f>"                    "</f>
        <v xml:space="preserve">                    </v>
      </c>
      <c r="IX19" t="str">
        <f>"                    "</f>
        <v xml:space="preserve">                    </v>
      </c>
      <c r="JA19" t="s">
        <v>277</v>
      </c>
      <c r="JC19" t="str">
        <f>"2007.95900"</f>
        <v>2007.95900</v>
      </c>
      <c r="JD19" s="1">
        <v>39252</v>
      </c>
      <c r="JE19" s="1">
        <v>39304</v>
      </c>
      <c r="JF19" s="2">
        <v>325000</v>
      </c>
      <c r="JG19" t="s">
        <v>308</v>
      </c>
      <c r="JH19" t="s">
        <v>588</v>
      </c>
      <c r="JI19" s="2">
        <v>260000</v>
      </c>
      <c r="JJ19" t="s">
        <v>289</v>
      </c>
      <c r="JK19" t="s">
        <v>290</v>
      </c>
      <c r="JM19" t="str">
        <f>"2007.92246"</f>
        <v>2007.92246</v>
      </c>
      <c r="JN19" t="str">
        <f>HYPERLINK("https://web.datatree.com/?/property?propertyId=6144476")</f>
        <v>https://web.datatree.com/?/property?propertyId=6144476</v>
      </c>
    </row>
    <row r="20" spans="1:274" x14ac:dyDescent="0.25">
      <c r="B20" s="6" t="s">
        <v>265</v>
      </c>
      <c r="C20" s="6" t="s">
        <v>266</v>
      </c>
      <c r="D20" s="6" t="s">
        <v>267</v>
      </c>
      <c r="E20" s="6" t="s">
        <v>644</v>
      </c>
      <c r="F20" s="6" t="s">
        <v>645</v>
      </c>
      <c r="G20" s="6" t="s">
        <v>315</v>
      </c>
      <c r="H20" s="6">
        <v>85258</v>
      </c>
      <c r="I20" s="6" t="s">
        <v>646</v>
      </c>
      <c r="J20" s="6" t="s">
        <v>268</v>
      </c>
      <c r="K20" s="6" t="s">
        <v>269</v>
      </c>
      <c r="L20" s="12">
        <v>44286</v>
      </c>
      <c r="M20" s="15" t="str">
        <f t="shared" si="0"/>
        <v>03/31/21</v>
      </c>
      <c r="N20" s="6" t="e">
        <v>#REF!</v>
      </c>
      <c r="O20" s="10">
        <f t="shared" si="1"/>
        <v>11801.715</v>
      </c>
      <c r="P20" s="11" t="str">
        <f t="shared" si="2"/>
        <v>$11,801.72</v>
      </c>
      <c r="Q20" s="12">
        <v>44328</v>
      </c>
      <c r="R20" s="4" t="str">
        <f t="shared" si="3"/>
        <v>05/12/21</v>
      </c>
      <c r="S20" t="str">
        <f t="shared" si="4"/>
        <v>PINAL</v>
      </c>
      <c r="T20" s="13" t="str">
        <f t="shared" si="5"/>
        <v>104-10-009L</v>
      </c>
      <c r="U20" t="str">
        <f t="shared" si="6"/>
        <v xml:space="preserve">323 S 9TH ST </v>
      </c>
      <c r="V20" t="s">
        <v>510</v>
      </c>
      <c r="W20" t="s">
        <v>471</v>
      </c>
      <c r="X20" t="str">
        <f t="shared" si="7"/>
        <v>58504-5612</v>
      </c>
      <c r="Y20" t="str">
        <f t="shared" si="8"/>
        <v>DEBBRA</v>
      </c>
      <c r="Z20" t="str">
        <f t="shared" si="9"/>
        <v>CHRISTOFF</v>
      </c>
      <c r="AA20" t="str">
        <f t="shared" si="10"/>
        <v>COM @ SE CORNER OF SEC 4-1S-9E TH W-1655.05 TH N-491.25 TO POB TH W-322.87 TH N-168.66 TH E-322.87 TH S-168.66 TO POB AKA LOT 4 BK 13 OF SURVEYS PG 30 54455 SQ FT 1.25 AC</v>
      </c>
      <c r="AB20">
        <f t="shared" si="11"/>
        <v>1.25</v>
      </c>
      <c r="AC20" t="str">
        <f t="shared" si="12"/>
        <v>PINAL</v>
      </c>
      <c r="AD20" s="6" t="str">
        <f t="shared" si="13"/>
        <v>85118</v>
      </c>
      <c r="AE20">
        <f t="shared" si="14"/>
        <v>9394.4</v>
      </c>
      <c r="AF20" s="28">
        <v>93944</v>
      </c>
      <c r="AG20" s="29">
        <v>0.1</v>
      </c>
      <c r="AH20" s="6">
        <v>5.0000000000000001E-3</v>
      </c>
      <c r="AI20">
        <f t="shared" si="15"/>
        <v>1.25</v>
      </c>
      <c r="AO20" t="s">
        <v>503</v>
      </c>
      <c r="AP20" t="s">
        <v>504</v>
      </c>
      <c r="AQ20" t="s">
        <v>505</v>
      </c>
      <c r="AR20" t="s">
        <v>506</v>
      </c>
      <c r="AS20" t="s">
        <v>270</v>
      </c>
      <c r="AT20">
        <v>1</v>
      </c>
      <c r="BC20" t="s">
        <v>507</v>
      </c>
      <c r="BD20" t="s">
        <v>508</v>
      </c>
      <c r="BH20" t="s">
        <v>271</v>
      </c>
      <c r="BQ20" t="s">
        <v>395</v>
      </c>
      <c r="BR20" t="s">
        <v>367</v>
      </c>
      <c r="BS20" t="s">
        <v>315</v>
      </c>
      <c r="BT20" t="str">
        <f t="shared" si="19"/>
        <v>85118</v>
      </c>
      <c r="BU20" t="str">
        <f>"85118"</f>
        <v>85118</v>
      </c>
      <c r="BV20" t="s">
        <v>316</v>
      </c>
      <c r="BY20" t="s">
        <v>434</v>
      </c>
      <c r="BZ20" t="s">
        <v>294</v>
      </c>
      <c r="CA20">
        <v>323</v>
      </c>
      <c r="CD20" t="s">
        <v>509</v>
      </c>
      <c r="CE20" t="s">
        <v>281</v>
      </c>
      <c r="CG20" t="s">
        <v>510</v>
      </c>
      <c r="CH20" t="s">
        <v>510</v>
      </c>
      <c r="CI20" t="s">
        <v>471</v>
      </c>
      <c r="CJ20" t="str">
        <f>"58504-5612"</f>
        <v>58504-5612</v>
      </c>
      <c r="CK20" t="s">
        <v>469</v>
      </c>
      <c r="CL20" t="s">
        <v>511</v>
      </c>
      <c r="CM20" t="s">
        <v>512</v>
      </c>
      <c r="CN20" t="s">
        <v>274</v>
      </c>
      <c r="CO20" t="s">
        <v>513</v>
      </c>
      <c r="CP20" t="str">
        <f>"104-10-009L"</f>
        <v>104-10-009L</v>
      </c>
      <c r="CQ20" t="str">
        <f>"10410009L"</f>
        <v>10410009L</v>
      </c>
      <c r="CR20" t="str">
        <f>""</f>
        <v/>
      </c>
      <c r="CS20">
        <v>4021</v>
      </c>
      <c r="CU20">
        <v>201</v>
      </c>
      <c r="CV20">
        <v>1016</v>
      </c>
      <c r="CX20" t="s">
        <v>441</v>
      </c>
      <c r="CY20" t="s">
        <v>348</v>
      </c>
      <c r="CZ20">
        <v>4</v>
      </c>
      <c r="DB20">
        <v>33.367147144199102</v>
      </c>
      <c r="DC20">
        <v>-111.43090234403201</v>
      </c>
      <c r="DD20" t="s">
        <v>340</v>
      </c>
      <c r="DK20" t="s">
        <v>514</v>
      </c>
      <c r="DM20">
        <v>13</v>
      </c>
      <c r="DN20">
        <v>30</v>
      </c>
      <c r="DO20" t="str">
        <f>"4"</f>
        <v>4</v>
      </c>
      <c r="DQ20">
        <v>0</v>
      </c>
      <c r="DR20">
        <v>0</v>
      </c>
      <c r="DS20">
        <v>0</v>
      </c>
      <c r="DT20">
        <v>0</v>
      </c>
      <c r="DW20">
        <v>0</v>
      </c>
      <c r="DX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L20">
        <v>0</v>
      </c>
      <c r="EN20">
        <v>0</v>
      </c>
      <c r="EP20">
        <v>0</v>
      </c>
      <c r="ER20">
        <v>0</v>
      </c>
      <c r="ET20">
        <v>0</v>
      </c>
      <c r="EY20">
        <v>0</v>
      </c>
      <c r="FA20">
        <v>0</v>
      </c>
      <c r="FL20">
        <v>0</v>
      </c>
      <c r="FO20" s="3">
        <v>1</v>
      </c>
      <c r="FQ20" t="s">
        <v>317</v>
      </c>
      <c r="FR20" t="s">
        <v>318</v>
      </c>
      <c r="FS20" t="s">
        <v>319</v>
      </c>
      <c r="FU20">
        <v>54450</v>
      </c>
      <c r="FV20">
        <v>1.25</v>
      </c>
      <c r="FW20">
        <v>0</v>
      </c>
      <c r="FX20">
        <v>0</v>
      </c>
      <c r="FY20">
        <v>0</v>
      </c>
      <c r="FZ20">
        <v>0</v>
      </c>
      <c r="GI20" t="s">
        <v>275</v>
      </c>
      <c r="GJ20" t="s">
        <v>515</v>
      </c>
      <c r="GK20" t="s">
        <v>309</v>
      </c>
      <c r="GL20" s="1">
        <v>39420</v>
      </c>
      <c r="GM20" t="s">
        <v>320</v>
      </c>
      <c r="GN20" t="str">
        <f t="shared" si="18"/>
        <v>FALSE</v>
      </c>
      <c r="GO20">
        <v>2021</v>
      </c>
      <c r="GP20">
        <v>2020</v>
      </c>
      <c r="GQ20">
        <v>4301</v>
      </c>
      <c r="GR20" t="s">
        <v>276</v>
      </c>
      <c r="GS20" t="s">
        <v>276</v>
      </c>
      <c r="GT20" t="s">
        <v>276</v>
      </c>
      <c r="GU20" t="s">
        <v>276</v>
      </c>
      <c r="GV20" t="s">
        <v>276</v>
      </c>
      <c r="GW20" t="s">
        <v>276</v>
      </c>
      <c r="GX20" t="s">
        <v>276</v>
      </c>
      <c r="GY20" t="s">
        <v>276</v>
      </c>
      <c r="GZ20" t="s">
        <v>276</v>
      </c>
      <c r="HA20" t="s">
        <v>276</v>
      </c>
      <c r="HB20" t="s">
        <v>276</v>
      </c>
      <c r="HC20" t="s">
        <v>276</v>
      </c>
      <c r="HD20" t="s">
        <v>276</v>
      </c>
      <c r="HE20" s="2">
        <v>0</v>
      </c>
      <c r="HF20" s="2">
        <v>0</v>
      </c>
      <c r="HG20" s="2">
        <v>0</v>
      </c>
      <c r="HH20">
        <v>0</v>
      </c>
      <c r="HI20" s="7">
        <v>88818</v>
      </c>
      <c r="HJ20" s="8">
        <v>88818</v>
      </c>
      <c r="HK20" s="8">
        <v>0</v>
      </c>
      <c r="HL20">
        <v>0</v>
      </c>
      <c r="HM20" s="2">
        <v>0</v>
      </c>
      <c r="HN20" s="2">
        <v>0</v>
      </c>
      <c r="HO20" s="2">
        <v>0</v>
      </c>
      <c r="HP20">
        <v>0</v>
      </c>
      <c r="HQ20" s="2">
        <v>1062.2</v>
      </c>
      <c r="HS20" s="2">
        <v>88818</v>
      </c>
      <c r="HV20" t="s">
        <v>321</v>
      </c>
      <c r="HY20" t="s">
        <v>396</v>
      </c>
      <c r="HZ20" t="s">
        <v>322</v>
      </c>
      <c r="IA20" t="s">
        <v>323</v>
      </c>
      <c r="IB20" s="1">
        <v>44126</v>
      </c>
      <c r="IC20" s="1">
        <v>44148</v>
      </c>
      <c r="ID20" s="2">
        <v>0</v>
      </c>
      <c r="IE20" t="s">
        <v>297</v>
      </c>
      <c r="IF20" t="str">
        <f>""</f>
        <v/>
      </c>
      <c r="IG20" t="str">
        <f>"2020.117634"</f>
        <v>2020.117634</v>
      </c>
      <c r="IH20" s="1">
        <v>44126</v>
      </c>
      <c r="II20" s="1">
        <v>44148</v>
      </c>
      <c r="IJ20" s="30">
        <v>79500</v>
      </c>
      <c r="IK20" t="s">
        <v>306</v>
      </c>
      <c r="IL20" t="s">
        <v>302</v>
      </c>
      <c r="IM20" t="s">
        <v>516</v>
      </c>
      <c r="IS20" t="str">
        <f>""</f>
        <v/>
      </c>
      <c r="IX20" t="str">
        <f>""</f>
        <v/>
      </c>
      <c r="IZ20" t="s">
        <v>377</v>
      </c>
      <c r="JA20" t="s">
        <v>277</v>
      </c>
      <c r="JC20" t="str">
        <f>"2020.117633"</f>
        <v>2020.117633</v>
      </c>
      <c r="JE20" s="1">
        <v>38488</v>
      </c>
      <c r="JF20" s="2">
        <v>219000</v>
      </c>
      <c r="JG20" t="s">
        <v>308</v>
      </c>
      <c r="JI20" s="2">
        <v>0</v>
      </c>
      <c r="JM20" t="str">
        <f>"2005.56596"</f>
        <v>2005.56596</v>
      </c>
      <c r="JN20" t="str">
        <f>HYPERLINK("https://web.datatree.com/?/property?propertyId=6092854")</f>
        <v>https://web.datatree.com/?/property?propertyId=6092854</v>
      </c>
    </row>
    <row r="21" spans="1:274" x14ac:dyDescent="0.25">
      <c r="A21" t="s">
        <v>657</v>
      </c>
      <c r="B21" t="s">
        <v>657</v>
      </c>
      <c r="C21" t="s">
        <v>657</v>
      </c>
      <c r="D21" t="s">
        <v>657</v>
      </c>
      <c r="E21" t="s">
        <v>657</v>
      </c>
      <c r="F21" t="s">
        <v>657</v>
      </c>
      <c r="G21" t="s">
        <v>657</v>
      </c>
      <c r="H21" t="s">
        <v>657</v>
      </c>
      <c r="I21" t="s">
        <v>657</v>
      </c>
      <c r="J21" t="s">
        <v>657</v>
      </c>
      <c r="K21" t="s">
        <v>657</v>
      </c>
      <c r="L21" t="s">
        <v>657</v>
      </c>
      <c r="M21" t="s">
        <v>657</v>
      </c>
      <c r="N21" t="s">
        <v>657</v>
      </c>
      <c r="O21" t="s">
        <v>657</v>
      </c>
      <c r="P21" t="s">
        <v>657</v>
      </c>
      <c r="Q21" t="s">
        <v>657</v>
      </c>
      <c r="R21" t="s">
        <v>657</v>
      </c>
      <c r="S21" t="s">
        <v>657</v>
      </c>
      <c r="T21" t="s">
        <v>657</v>
      </c>
      <c r="U21" t="s">
        <v>657</v>
      </c>
      <c r="V21" t="s">
        <v>657</v>
      </c>
      <c r="W21" t="s">
        <v>657</v>
      </c>
      <c r="X21" t="s">
        <v>657</v>
      </c>
      <c r="Y21" t="s">
        <v>657</v>
      </c>
      <c r="Z21" t="s">
        <v>657</v>
      </c>
      <c r="AA21" t="s">
        <v>657</v>
      </c>
      <c r="AB21" t="s">
        <v>657</v>
      </c>
      <c r="AC21" t="s">
        <v>657</v>
      </c>
      <c r="AD21" t="s">
        <v>657</v>
      </c>
      <c r="AE21" s="20" t="s">
        <v>657</v>
      </c>
      <c r="AF21" s="20" t="s">
        <v>657</v>
      </c>
      <c r="AG21" s="25" t="s">
        <v>657</v>
      </c>
      <c r="AH21" t="s">
        <v>657</v>
      </c>
      <c r="AI21" t="s">
        <v>657</v>
      </c>
      <c r="AJ21" t="s">
        <v>657</v>
      </c>
      <c r="AK21" t="s">
        <v>657</v>
      </c>
      <c r="AL21" t="s">
        <v>657</v>
      </c>
      <c r="AM21" t="s">
        <v>657</v>
      </c>
      <c r="AN21" t="s">
        <v>657</v>
      </c>
      <c r="AO21" t="s">
        <v>657</v>
      </c>
      <c r="AP21" t="s">
        <v>657</v>
      </c>
      <c r="AQ21" t="s">
        <v>657</v>
      </c>
      <c r="AR21" t="s">
        <v>657</v>
      </c>
      <c r="AS21" t="s">
        <v>657</v>
      </c>
      <c r="AT21" t="s">
        <v>657</v>
      </c>
      <c r="AU21" t="s">
        <v>657</v>
      </c>
      <c r="AV21" t="s">
        <v>657</v>
      </c>
      <c r="AW21" t="s">
        <v>657</v>
      </c>
      <c r="AX21" t="s">
        <v>657</v>
      </c>
      <c r="AY21" t="s">
        <v>657</v>
      </c>
      <c r="AZ21" t="s">
        <v>657</v>
      </c>
      <c r="BA21" t="s">
        <v>657</v>
      </c>
      <c r="BB21" t="s">
        <v>657</v>
      </c>
      <c r="BC21" t="s">
        <v>657</v>
      </c>
      <c r="BD21" t="s">
        <v>657</v>
      </c>
      <c r="BE21" t="s">
        <v>657</v>
      </c>
      <c r="BF21" t="s">
        <v>657</v>
      </c>
      <c r="BG21" t="s">
        <v>657</v>
      </c>
      <c r="BH21" t="s">
        <v>657</v>
      </c>
      <c r="BI21" t="s">
        <v>657</v>
      </c>
      <c r="BJ21" t="s">
        <v>657</v>
      </c>
      <c r="BK21" t="s">
        <v>657</v>
      </c>
      <c r="BL21" t="s">
        <v>657</v>
      </c>
      <c r="BM21" t="s">
        <v>657</v>
      </c>
      <c r="BN21" t="s">
        <v>657</v>
      </c>
      <c r="BO21" t="s">
        <v>657</v>
      </c>
      <c r="BP21" t="s">
        <v>657</v>
      </c>
      <c r="BQ21" t="s">
        <v>657</v>
      </c>
      <c r="BR21" t="s">
        <v>657</v>
      </c>
      <c r="BS21" t="s">
        <v>657</v>
      </c>
      <c r="BT21" t="s">
        <v>657</v>
      </c>
      <c r="BU21" t="s">
        <v>657</v>
      </c>
      <c r="BV21" t="s">
        <v>657</v>
      </c>
      <c r="BW21" t="s">
        <v>657</v>
      </c>
      <c r="BX21" t="s">
        <v>657</v>
      </c>
      <c r="BY21" t="s">
        <v>657</v>
      </c>
      <c r="BZ21" t="s">
        <v>657</v>
      </c>
      <c r="CA21" t="s">
        <v>657</v>
      </c>
      <c r="CB21" t="s">
        <v>657</v>
      </c>
      <c r="CC21" t="s">
        <v>657</v>
      </c>
      <c r="CD21" t="s">
        <v>657</v>
      </c>
      <c r="CE21" t="s">
        <v>657</v>
      </c>
      <c r="CF21" t="s">
        <v>657</v>
      </c>
      <c r="CG21" t="s">
        <v>657</v>
      </c>
      <c r="CH21" t="s">
        <v>657</v>
      </c>
      <c r="CI21" t="s">
        <v>657</v>
      </c>
      <c r="CJ21" t="s">
        <v>657</v>
      </c>
      <c r="CK21" t="s">
        <v>657</v>
      </c>
      <c r="CL21" t="s">
        <v>657</v>
      </c>
      <c r="CM21" t="s">
        <v>657</v>
      </c>
      <c r="CN21" t="s">
        <v>657</v>
      </c>
      <c r="CO21" t="s">
        <v>657</v>
      </c>
      <c r="CP21" t="s">
        <v>657</v>
      </c>
      <c r="CQ21" t="s">
        <v>657</v>
      </c>
      <c r="CR21" t="s">
        <v>657</v>
      </c>
      <c r="CS21" t="s">
        <v>657</v>
      </c>
      <c r="CT21" t="s">
        <v>657</v>
      </c>
      <c r="CU21" t="s">
        <v>657</v>
      </c>
      <c r="CV21" t="s">
        <v>657</v>
      </c>
      <c r="CW21" t="s">
        <v>657</v>
      </c>
      <c r="CX21" t="s">
        <v>657</v>
      </c>
      <c r="CY21" t="s">
        <v>657</v>
      </c>
      <c r="CZ21" t="s">
        <v>657</v>
      </c>
      <c r="DA21" t="s">
        <v>657</v>
      </c>
      <c r="DB21" t="s">
        <v>657</v>
      </c>
      <c r="DC21" t="s">
        <v>657</v>
      </c>
      <c r="DD21" t="s">
        <v>657</v>
      </c>
      <c r="DE21" t="s">
        <v>657</v>
      </c>
      <c r="DF21" t="s">
        <v>657</v>
      </c>
      <c r="DG21" t="s">
        <v>657</v>
      </c>
      <c r="DH21" t="s">
        <v>657</v>
      </c>
      <c r="DI21" t="s">
        <v>657</v>
      </c>
      <c r="DJ21" t="s">
        <v>657</v>
      </c>
      <c r="DK21" t="s">
        <v>657</v>
      </c>
      <c r="DL21" t="s">
        <v>657</v>
      </c>
      <c r="DM21" t="s">
        <v>657</v>
      </c>
      <c r="DN21" t="s">
        <v>657</v>
      </c>
      <c r="DO21" t="s">
        <v>657</v>
      </c>
      <c r="DP21" t="s">
        <v>657</v>
      </c>
      <c r="DQ21" t="s">
        <v>657</v>
      </c>
      <c r="DR21" t="s">
        <v>657</v>
      </c>
      <c r="DS21" t="s">
        <v>657</v>
      </c>
      <c r="DT21" t="s">
        <v>657</v>
      </c>
      <c r="DU21" t="s">
        <v>657</v>
      </c>
      <c r="DV21" t="s">
        <v>657</v>
      </c>
      <c r="DW21" t="s">
        <v>657</v>
      </c>
      <c r="DX21" t="s">
        <v>657</v>
      </c>
      <c r="DY21" t="s">
        <v>657</v>
      </c>
      <c r="DZ21" t="s">
        <v>657</v>
      </c>
      <c r="EA21" t="s">
        <v>657</v>
      </c>
      <c r="EB21" t="s">
        <v>657</v>
      </c>
      <c r="EC21" t="s">
        <v>657</v>
      </c>
      <c r="ED21" t="s">
        <v>657</v>
      </c>
      <c r="EE21" t="s">
        <v>657</v>
      </c>
      <c r="EF21" t="s">
        <v>657</v>
      </c>
      <c r="EG21" t="s">
        <v>657</v>
      </c>
      <c r="EH21" t="s">
        <v>657</v>
      </c>
      <c r="EI21" t="s">
        <v>657</v>
      </c>
      <c r="EJ21" t="s">
        <v>657</v>
      </c>
      <c r="EK21" t="s">
        <v>657</v>
      </c>
      <c r="EL21" t="s">
        <v>657</v>
      </c>
      <c r="EM21" t="s">
        <v>657</v>
      </c>
      <c r="EN21" t="s">
        <v>657</v>
      </c>
      <c r="EO21" t="s">
        <v>657</v>
      </c>
      <c r="EP21" t="s">
        <v>657</v>
      </c>
      <c r="EQ21" t="s">
        <v>657</v>
      </c>
      <c r="ER21" t="s">
        <v>657</v>
      </c>
      <c r="ES21" t="s">
        <v>657</v>
      </c>
      <c r="ET21" t="s">
        <v>657</v>
      </c>
      <c r="EU21" t="s">
        <v>657</v>
      </c>
      <c r="EV21" t="s">
        <v>657</v>
      </c>
      <c r="EW21" t="s">
        <v>657</v>
      </c>
      <c r="EX21" t="s">
        <v>657</v>
      </c>
      <c r="EY21" t="s">
        <v>657</v>
      </c>
      <c r="EZ21" t="s">
        <v>657</v>
      </c>
      <c r="FA21" t="s">
        <v>657</v>
      </c>
      <c r="FB21" t="s">
        <v>657</v>
      </c>
      <c r="FC21" t="s">
        <v>657</v>
      </c>
      <c r="FD21" t="s">
        <v>657</v>
      </c>
      <c r="FE21" t="s">
        <v>657</v>
      </c>
      <c r="FF21" t="s">
        <v>657</v>
      </c>
      <c r="FG21" t="s">
        <v>657</v>
      </c>
      <c r="FH21" t="s">
        <v>657</v>
      </c>
      <c r="FI21" t="s">
        <v>657</v>
      </c>
      <c r="FJ21" t="s">
        <v>657</v>
      </c>
      <c r="FK21" t="s">
        <v>657</v>
      </c>
      <c r="FL21" t="s">
        <v>657</v>
      </c>
      <c r="FM21" t="s">
        <v>657</v>
      </c>
      <c r="FN21" t="s">
        <v>657</v>
      </c>
      <c r="FO21" t="s">
        <v>657</v>
      </c>
      <c r="FP21" t="s">
        <v>657</v>
      </c>
      <c r="FQ21" t="s">
        <v>657</v>
      </c>
      <c r="FR21" t="s">
        <v>657</v>
      </c>
      <c r="FS21" t="s">
        <v>657</v>
      </c>
      <c r="FT21" t="s">
        <v>657</v>
      </c>
      <c r="FU21" t="s">
        <v>657</v>
      </c>
      <c r="FV21" t="s">
        <v>657</v>
      </c>
      <c r="FW21" t="s">
        <v>657</v>
      </c>
      <c r="FX21" t="s">
        <v>657</v>
      </c>
      <c r="FY21" t="s">
        <v>657</v>
      </c>
      <c r="FZ21" t="s">
        <v>657</v>
      </c>
      <c r="GA21" t="s">
        <v>657</v>
      </c>
      <c r="GB21" t="s">
        <v>657</v>
      </c>
      <c r="GC21" t="s">
        <v>657</v>
      </c>
      <c r="GD21" t="s">
        <v>657</v>
      </c>
      <c r="GE21" t="s">
        <v>657</v>
      </c>
      <c r="GF21" t="s">
        <v>657</v>
      </c>
      <c r="GG21" t="s">
        <v>657</v>
      </c>
      <c r="GH21" t="s">
        <v>657</v>
      </c>
      <c r="GI21" t="s">
        <v>657</v>
      </c>
      <c r="GJ21" t="s">
        <v>657</v>
      </c>
      <c r="GK21" t="s">
        <v>657</v>
      </c>
      <c r="GL21" t="s">
        <v>657</v>
      </c>
      <c r="GM21" t="s">
        <v>657</v>
      </c>
      <c r="GN21" t="s">
        <v>657</v>
      </c>
      <c r="GO21" t="s">
        <v>657</v>
      </c>
      <c r="GP21" t="s">
        <v>657</v>
      </c>
      <c r="GQ21" t="s">
        <v>657</v>
      </c>
      <c r="GR21" t="s">
        <v>657</v>
      </c>
      <c r="GS21" t="s">
        <v>657</v>
      </c>
      <c r="GT21" t="s">
        <v>657</v>
      </c>
      <c r="GU21" t="s">
        <v>657</v>
      </c>
      <c r="GV21" t="s">
        <v>657</v>
      </c>
      <c r="GW21" t="s">
        <v>657</v>
      </c>
      <c r="GX21" t="s">
        <v>657</v>
      </c>
      <c r="GY21" t="s">
        <v>657</v>
      </c>
      <c r="GZ21" t="s">
        <v>657</v>
      </c>
      <c r="HA21" t="s">
        <v>657</v>
      </c>
      <c r="HB21" t="s">
        <v>657</v>
      </c>
      <c r="HC21" t="s">
        <v>657</v>
      </c>
      <c r="HD21" t="s">
        <v>657</v>
      </c>
      <c r="HE21" t="s">
        <v>657</v>
      </c>
      <c r="HF21" t="s">
        <v>657</v>
      </c>
      <c r="HG21" t="s">
        <v>657</v>
      </c>
      <c r="HH21" t="s">
        <v>657</v>
      </c>
      <c r="HI21" t="s">
        <v>657</v>
      </c>
      <c r="HJ21" t="s">
        <v>657</v>
      </c>
      <c r="HK21" t="s">
        <v>657</v>
      </c>
      <c r="HL21" t="s">
        <v>657</v>
      </c>
      <c r="HM21" t="s">
        <v>657</v>
      </c>
      <c r="HN21" t="s">
        <v>657</v>
      </c>
      <c r="HO21" t="s">
        <v>657</v>
      </c>
      <c r="HP21" t="s">
        <v>657</v>
      </c>
      <c r="HQ21" t="s">
        <v>657</v>
      </c>
      <c r="HR21" t="s">
        <v>657</v>
      </c>
      <c r="HS21" t="s">
        <v>657</v>
      </c>
      <c r="HT21" t="s">
        <v>657</v>
      </c>
      <c r="HU21" t="s">
        <v>657</v>
      </c>
      <c r="HV21" t="s">
        <v>657</v>
      </c>
      <c r="HW21" t="s">
        <v>657</v>
      </c>
      <c r="HX21" t="s">
        <v>657</v>
      </c>
      <c r="HY21" t="s">
        <v>657</v>
      </c>
      <c r="HZ21" t="s">
        <v>657</v>
      </c>
      <c r="IA21" t="s">
        <v>657</v>
      </c>
      <c r="IB21" t="s">
        <v>657</v>
      </c>
      <c r="IC21" t="s">
        <v>657</v>
      </c>
      <c r="ID21" t="s">
        <v>657</v>
      </c>
      <c r="IE21" t="s">
        <v>657</v>
      </c>
      <c r="IF21" t="s">
        <v>657</v>
      </c>
      <c r="IG21" t="s">
        <v>657</v>
      </c>
      <c r="IH21" t="s">
        <v>657</v>
      </c>
      <c r="II21" t="s">
        <v>657</v>
      </c>
      <c r="IJ21" s="9" t="s">
        <v>657</v>
      </c>
      <c r="IK21" t="s">
        <v>657</v>
      </c>
      <c r="IL21" t="s">
        <v>657</v>
      </c>
      <c r="IM21" t="s">
        <v>657</v>
      </c>
      <c r="IN21" t="s">
        <v>657</v>
      </c>
      <c r="IO21" t="s">
        <v>657</v>
      </c>
      <c r="IP21" t="s">
        <v>657</v>
      </c>
      <c r="IQ21" t="s">
        <v>657</v>
      </c>
      <c r="IR21" t="s">
        <v>657</v>
      </c>
      <c r="IS21" t="s">
        <v>657</v>
      </c>
      <c r="IT21" t="s">
        <v>657</v>
      </c>
      <c r="IU21" t="s">
        <v>657</v>
      </c>
      <c r="IV21" t="s">
        <v>657</v>
      </c>
      <c r="IW21" t="s">
        <v>657</v>
      </c>
      <c r="IX21" t="s">
        <v>657</v>
      </c>
      <c r="IY21" t="s">
        <v>657</v>
      </c>
      <c r="IZ21" t="s">
        <v>657</v>
      </c>
      <c r="JA21" t="s">
        <v>657</v>
      </c>
      <c r="JB21" t="s">
        <v>657</v>
      </c>
      <c r="JC21" t="s">
        <v>657</v>
      </c>
      <c r="JD21" t="s">
        <v>657</v>
      </c>
      <c r="JE21" t="s">
        <v>657</v>
      </c>
      <c r="JF21" t="s">
        <v>657</v>
      </c>
      <c r="JG21" t="s">
        <v>657</v>
      </c>
      <c r="JH21" t="s">
        <v>657</v>
      </c>
      <c r="JI21" t="s">
        <v>657</v>
      </c>
      <c r="JJ21" t="s">
        <v>657</v>
      </c>
      <c r="JK21" t="s">
        <v>657</v>
      </c>
      <c r="JL21" t="s">
        <v>657</v>
      </c>
      <c r="JM21" t="s">
        <v>657</v>
      </c>
      <c r="JN21" t="s">
        <v>657</v>
      </c>
    </row>
    <row r="24" spans="1:274" x14ac:dyDescent="0.25">
      <c r="X24" s="18"/>
    </row>
    <row r="25" spans="1:274" x14ac:dyDescent="0.25">
      <c r="P25" s="19">
        <f>3000*10</f>
        <v>30000</v>
      </c>
      <c r="Q25" s="20">
        <f>+P25*50</f>
        <v>1500000</v>
      </c>
    </row>
  </sheetData>
  <sortState xmlns:xlrd2="http://schemas.microsoft.com/office/spreadsheetml/2017/richdata2" ref="A3:JN20">
    <sortCondition ref="AD3:AD20"/>
  </sortState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Concierge Mailer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Steven</cp:lastModifiedBy>
  <dcterms:created xsi:type="dcterms:W3CDTF">2020-06-24T17:54:45Z</dcterms:created>
  <dcterms:modified xsi:type="dcterms:W3CDTF">2021-05-26T22:03:21Z</dcterms:modified>
</cp:coreProperties>
</file>